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95" windowHeight="9210" tabRatio="945" activeTab="3"/>
  </bookViews>
  <sheets>
    <sheet name="Schedule of Allocation" sheetId="1" r:id="rId1"/>
    <sheet name="Intercompany Transactions" sheetId="6" r:id="rId2"/>
    <sheet name="June 30 2010 Trial Balance" sheetId="2" r:id="rId3"/>
    <sheet name="Foreign Curr Translation" sheetId="5" r:id="rId4"/>
    <sheet name="Voiles Financial Statements $ " sheetId="7" r:id="rId5"/>
    <sheet name="Consolidated IS &amp; RE" sheetId="4" r:id="rId6"/>
    <sheet name="Consolidated BS" sheetId="3" r:id="rId7"/>
  </sheets>
  <calcPr calcId="125725" concurrentCalc="0"/>
</workbook>
</file>

<file path=xl/calcChain.xml><?xml version="1.0" encoding="utf-8"?>
<calcChain xmlns="http://schemas.openxmlformats.org/spreadsheetml/2006/main">
  <c r="E20" i="4"/>
  <c r="E19"/>
  <c r="E11"/>
  <c r="E8"/>
  <c r="E16"/>
  <c r="B10" i="3"/>
  <c r="B27"/>
  <c r="C27"/>
  <c r="F21" i="5"/>
  <c r="D27" i="3"/>
  <c r="D66" i="6"/>
  <c r="E27" i="3"/>
  <c r="F27"/>
  <c r="B28"/>
  <c r="C28"/>
  <c r="F28"/>
  <c r="B29"/>
  <c r="C29"/>
  <c r="F29"/>
  <c r="B30"/>
  <c r="C30"/>
  <c r="F25" i="5"/>
  <c r="D30" i="3"/>
  <c r="E30"/>
  <c r="F30"/>
  <c r="B33" i="4"/>
  <c r="C33"/>
  <c r="F26" i="5"/>
  <c r="D33" i="4"/>
  <c r="E33"/>
  <c r="C84" i="6"/>
  <c r="C86"/>
  <c r="C88"/>
  <c r="E34" i="4"/>
  <c r="G84" i="6"/>
  <c r="D32" i="1"/>
  <c r="D34"/>
  <c r="G85" i="6"/>
  <c r="G86"/>
  <c r="E35" i="4"/>
  <c r="F33"/>
  <c r="B8"/>
  <c r="C8"/>
  <c r="F27" i="5"/>
  <c r="G7" i="7"/>
  <c r="D8" i="4"/>
  <c r="C52" i="6"/>
  <c r="F8" i="4"/>
  <c r="B10"/>
  <c r="F10"/>
  <c r="B11"/>
  <c r="F7" i="6"/>
  <c r="F11" i="4"/>
  <c r="F13"/>
  <c r="B16"/>
  <c r="C16"/>
  <c r="F14" i="5"/>
  <c r="E9" i="7"/>
  <c r="D16" i="4"/>
  <c r="E57" i="6"/>
  <c r="E58"/>
  <c r="E59"/>
  <c r="F16" i="4"/>
  <c r="B18"/>
  <c r="C18"/>
  <c r="F15" i="5"/>
  <c r="E10" i="7"/>
  <c r="D18" i="4"/>
  <c r="E26" i="1"/>
  <c r="E28"/>
  <c r="E32"/>
  <c r="E34"/>
  <c r="E18" i="4"/>
  <c r="F18"/>
  <c r="B19"/>
  <c r="C19"/>
  <c r="F19"/>
  <c r="C76" i="6"/>
  <c r="F20" i="4"/>
  <c r="F22"/>
  <c r="F24"/>
  <c r="F37"/>
  <c r="F38"/>
  <c r="B40"/>
  <c r="C40"/>
  <c r="F13" i="5"/>
  <c r="D40" i="4"/>
  <c r="E40"/>
  <c r="F40"/>
  <c r="F42"/>
  <c r="F31" i="3"/>
  <c r="F74" i="6"/>
  <c r="C13" i="4"/>
  <c r="C22"/>
  <c r="C24"/>
  <c r="C37"/>
  <c r="C38"/>
  <c r="C42"/>
  <c r="C31" i="3"/>
  <c r="F75" i="6"/>
  <c r="F76"/>
  <c r="F78"/>
  <c r="E32" i="3"/>
  <c r="F32"/>
  <c r="F36"/>
  <c r="D13" i="4"/>
  <c r="D22"/>
  <c r="D24"/>
  <c r="D37"/>
  <c r="D38"/>
  <c r="D42"/>
  <c r="D31" i="3"/>
  <c r="F20" i="5"/>
  <c r="F32"/>
  <c r="F5"/>
  <c r="F6"/>
  <c r="F8"/>
  <c r="F12"/>
  <c r="F17"/>
  <c r="D34" i="3"/>
  <c r="D36"/>
  <c r="B13" i="4"/>
  <c r="B22"/>
  <c r="B24"/>
  <c r="B37"/>
  <c r="B38"/>
  <c r="B42"/>
  <c r="B31" i="3"/>
  <c r="B36"/>
  <c r="C17"/>
  <c r="F17"/>
  <c r="C10"/>
  <c r="D10"/>
  <c r="F10"/>
  <c r="B11"/>
  <c r="C11"/>
  <c r="D11"/>
  <c r="E11"/>
  <c r="F11"/>
  <c r="B13"/>
  <c r="C13"/>
  <c r="D13"/>
  <c r="E13"/>
  <c r="F13"/>
  <c r="B14"/>
  <c r="E14"/>
  <c r="F14"/>
  <c r="B15"/>
  <c r="E15"/>
  <c r="F15"/>
  <c r="B16"/>
  <c r="E16"/>
  <c r="F16"/>
  <c r="B18"/>
  <c r="C18"/>
  <c r="D18"/>
  <c r="B42" i="6"/>
  <c r="C26" i="1"/>
  <c r="D26"/>
  <c r="C32"/>
  <c r="E18" i="3"/>
  <c r="F18"/>
  <c r="B19"/>
  <c r="C19"/>
  <c r="D19"/>
  <c r="B44" i="6"/>
  <c r="E19" i="3"/>
  <c r="F19"/>
  <c r="E20"/>
  <c r="F20"/>
  <c r="F22"/>
  <c r="C36"/>
  <c r="C22"/>
  <c r="D22"/>
  <c r="B22"/>
  <c r="D33" i="6"/>
  <c r="D35"/>
  <c r="D26"/>
  <c r="D28"/>
  <c r="C21"/>
  <c r="G33" i="7"/>
  <c r="G34"/>
  <c r="G11"/>
  <c r="G12"/>
  <c r="G13"/>
  <c r="G14"/>
  <c r="G15"/>
  <c r="G16"/>
  <c r="G35"/>
  <c r="G37"/>
  <c r="G25"/>
  <c r="G26"/>
  <c r="G27"/>
  <c r="G28"/>
  <c r="G29"/>
  <c r="G30"/>
  <c r="J9" i="1"/>
  <c r="J10"/>
  <c r="J15"/>
  <c r="J17"/>
  <c r="B32" i="5"/>
  <c r="B18"/>
  <c r="F18"/>
  <c r="C34" i="1"/>
  <c r="B34"/>
  <c r="H9"/>
  <c r="H10"/>
  <c r="H15"/>
  <c r="H17"/>
  <c r="C28"/>
  <c r="D28"/>
  <c r="B28"/>
</calcChain>
</file>

<file path=xl/comments1.xml><?xml version="1.0" encoding="utf-8"?>
<comments xmlns="http://schemas.openxmlformats.org/spreadsheetml/2006/main">
  <authors>
    <author>Aneri Patel</author>
  </authors>
  <commentList>
    <comment ref="D5" authorId="0">
      <text>
        <r>
          <rPr>
            <b/>
            <sz val="8"/>
            <color indexed="81"/>
            <rFont val="Tahoma"/>
          </rPr>
          <t>Aneri Patel:</t>
        </r>
        <r>
          <rPr>
            <sz val="8"/>
            <color indexed="81"/>
            <rFont val="Tahoma"/>
          </rPr>
          <t xml:space="preserve">
Exchange rate at Balance Sheet date of 6/30/10 for all assets and liabilities:
1Euro = 1.2233$</t>
        </r>
      </text>
    </comment>
    <comment ref="D13" authorId="0">
      <text>
        <r>
          <rPr>
            <b/>
            <sz val="8"/>
            <color indexed="81"/>
            <rFont val="Tahoma"/>
          </rPr>
          <t>Aneri Patel:</t>
        </r>
        <r>
          <rPr>
            <sz val="8"/>
            <color indexed="81"/>
            <rFont val="Tahoma"/>
          </rPr>
          <t xml:space="preserve">
Not sure if this is correct. Exchange rate used is at 10/24/09 when 1Euro = 1.5002$ and 1$=0.6666Euro</t>
        </r>
      </text>
    </comment>
    <comment ref="D25" authorId="0">
      <text>
        <r>
          <rPr>
            <b/>
            <sz val="8"/>
            <color indexed="81"/>
            <rFont val="Tahoma"/>
          </rPr>
          <t>Aneri Patel:</t>
        </r>
        <r>
          <rPr>
            <sz val="8"/>
            <color indexed="81"/>
            <rFont val="Tahoma"/>
          </rPr>
          <t xml:space="preserve">
Not sure if this is correct. Exchange Rate at the date of Acquisition 7/1/07:
1Euro = 1.3535$
1$ = 0.7388 Euro</t>
        </r>
      </text>
    </comment>
    <comment ref="D27" authorId="0">
      <text>
        <r>
          <rPr>
            <b/>
            <sz val="8"/>
            <color indexed="81"/>
            <rFont val="Tahoma"/>
          </rPr>
          <t>Aneri Patel:</t>
        </r>
        <r>
          <rPr>
            <sz val="8"/>
            <color indexed="81"/>
            <rFont val="Tahoma"/>
          </rPr>
          <t xml:space="preserve">
Average Exchange Rate on Income Statement Items:
1Euro = 1.39$</t>
        </r>
      </text>
    </comment>
  </commentList>
</comments>
</file>

<file path=xl/sharedStrings.xml><?xml version="1.0" encoding="utf-8"?>
<sst xmlns="http://schemas.openxmlformats.org/spreadsheetml/2006/main" count="232" uniqueCount="153">
  <si>
    <t>ALMAX COMPANY AND ITS SUBSIDIARIES</t>
  </si>
  <si>
    <t>Investment in Ruster</t>
  </si>
  <si>
    <t>Shares purchased</t>
  </si>
  <si>
    <t xml:space="preserve">Common Stock outstanding </t>
  </si>
  <si>
    <t>Common Stock at</t>
  </si>
  <si>
    <t>Par</t>
  </si>
  <si>
    <t>Interest aquired</t>
  </si>
  <si>
    <t>Total excess of cost over book value acquired</t>
  </si>
  <si>
    <t>Amount Assigned</t>
  </si>
  <si>
    <t>PPE (10 Yr Life)</t>
  </si>
  <si>
    <t>Goodwill</t>
  </si>
  <si>
    <t>Per Year Amortization</t>
  </si>
  <si>
    <t>Total</t>
  </si>
  <si>
    <t>Consolidated Balance Sheet</t>
  </si>
  <si>
    <t>Elimination</t>
  </si>
  <si>
    <t>Consolidated</t>
  </si>
  <si>
    <t>Almax Company and Subsidiaries</t>
  </si>
  <si>
    <t>Trial Balances</t>
  </si>
  <si>
    <t>Almax Company (U.S. $)</t>
  </si>
  <si>
    <t>Ruster Company (U.S. $)</t>
  </si>
  <si>
    <t>Voiles Company (Euros)</t>
  </si>
  <si>
    <t>Cash</t>
  </si>
  <si>
    <t>Accounts Receivable</t>
  </si>
  <si>
    <t>Dividends Receivable</t>
  </si>
  <si>
    <t>Inventories</t>
  </si>
  <si>
    <t>Investment in Voiles</t>
  </si>
  <si>
    <t>Investment in Ruster Bonds</t>
  </si>
  <si>
    <t>Property, Plant &amp; Equipment</t>
  </si>
  <si>
    <t>Accumulated Depreciation</t>
  </si>
  <si>
    <t>Accounts Payable</t>
  </si>
  <si>
    <t>Dividends Payable</t>
  </si>
  <si>
    <t>Bonds Payable</t>
  </si>
  <si>
    <t>Unamortized Bond Discount</t>
  </si>
  <si>
    <t>Capital Stock ($50 Par)</t>
  </si>
  <si>
    <t>Dividends</t>
  </si>
  <si>
    <t>Retained Earnings (7/1/09)</t>
  </si>
  <si>
    <t>Sales</t>
  </si>
  <si>
    <t>Gain on Sale of Equipment</t>
  </si>
  <si>
    <t>Interest Income</t>
  </si>
  <si>
    <t>Dividend Income</t>
  </si>
  <si>
    <t>Cost of Goods Sold</t>
  </si>
  <si>
    <t>Operating Expenses</t>
  </si>
  <si>
    <t>Interest Expense</t>
  </si>
  <si>
    <t>Almax Corporation and Subsidiaries</t>
  </si>
  <si>
    <t>Almax Company</t>
  </si>
  <si>
    <t>Ruster Company</t>
  </si>
  <si>
    <t>Voiles Company</t>
  </si>
  <si>
    <t>ASSETS</t>
  </si>
  <si>
    <t>Total Assets</t>
  </si>
  <si>
    <t>LIABILITIES AND EQUITY</t>
  </si>
  <si>
    <t>Retained Earnings</t>
  </si>
  <si>
    <t>Minority Interest</t>
  </si>
  <si>
    <t>Revenues</t>
  </si>
  <si>
    <t>Total Revenue</t>
  </si>
  <si>
    <t>Expenses</t>
  </si>
  <si>
    <t>Cost of Good Sold</t>
  </si>
  <si>
    <t>Total Expenses</t>
  </si>
  <si>
    <t>Net Income</t>
  </si>
  <si>
    <t>Consolidated Income Statement</t>
  </si>
  <si>
    <t>Consolidated Statement of Retained Earnings</t>
  </si>
  <si>
    <t>Subsidiary Voiles Trial Balances</t>
  </si>
  <si>
    <t>June 30. 2010</t>
  </si>
  <si>
    <t>Investment in Subsidiaries</t>
  </si>
  <si>
    <t>Book Value of Equity of Subsidiaries</t>
  </si>
  <si>
    <t xml:space="preserve">Book value of Equity of the interest acquired </t>
  </si>
  <si>
    <t>Excess of Cost over Book Value:</t>
  </si>
  <si>
    <t>Assignment to Identifiable Net Assets (50%) and Goodwill (50%):</t>
  </si>
  <si>
    <t>2007-2008</t>
  </si>
  <si>
    <t>2008-2009</t>
  </si>
  <si>
    <t>2009-2010</t>
  </si>
  <si>
    <t>Interest Inome (Bonds)</t>
  </si>
  <si>
    <t>Interest Expense (Bonds)</t>
  </si>
  <si>
    <t>80% Ruster Company</t>
  </si>
  <si>
    <t>100% Voiles Company</t>
  </si>
  <si>
    <t>(3) Intercompany Bonds:</t>
  </si>
  <si>
    <t>Translation Rate</t>
  </si>
  <si>
    <t>Trial Balance In Euros</t>
  </si>
  <si>
    <t>Trial Balance In U.S. Dollars</t>
  </si>
  <si>
    <t>Less: Dividends</t>
  </si>
  <si>
    <t>Debits</t>
  </si>
  <si>
    <t>Credits</t>
  </si>
  <si>
    <t xml:space="preserve">% Interest Acquired: </t>
  </si>
  <si>
    <t xml:space="preserve"> income (Translation Adjustment)</t>
  </si>
  <si>
    <t>Accumulated other comprehensive</t>
  </si>
  <si>
    <t>VOILES COMPANY</t>
  </si>
  <si>
    <t>INCOME &amp; RETAINED EARNINGS STATEMENTS</t>
  </si>
  <si>
    <t>FOR THE YEAR ENDED 6/30/2010</t>
  </si>
  <si>
    <t>Less: Costs &amp; Expenses</t>
  </si>
  <si>
    <t>Total Costs &amp; Expenses</t>
  </si>
  <si>
    <t>Retained earnings July 1, 2009</t>
  </si>
  <si>
    <t>Retained earnings June 30, 2010</t>
  </si>
  <si>
    <t>(IN U.S. DOLLARS)</t>
  </si>
  <si>
    <t>VOILES COMPANY BALANCE SHEET</t>
  </si>
  <si>
    <t>AT JUNE 30, 2010</t>
  </si>
  <si>
    <t>Assets</t>
  </si>
  <si>
    <t>Less: Accumulated Depreciation</t>
  </si>
  <si>
    <t>Equities</t>
  </si>
  <si>
    <t>Accumulated other comprehensive income</t>
  </si>
  <si>
    <t>Interest expense of Ruster Company during 2009-2010:</t>
  </si>
  <si>
    <t xml:space="preserve">($20,000,000 X 8%) + (120,000/3) +(($20,000,000 - $19,600,000)/10) = </t>
  </si>
  <si>
    <t>bonds purchased in open market</t>
  </si>
  <si>
    <t>relates to intercompany bonds</t>
  </si>
  <si>
    <t>Almax Company records intrest income from invwstment in bonds during 2009-2010:</t>
  </si>
  <si>
    <t>($15,000,000 X 8%) + (($15,000,000 - $14,700,000)/3) =</t>
  </si>
  <si>
    <t>(5) Total dividends declared and paid during 2009-2010 fiscal year were as follows:</t>
  </si>
  <si>
    <t>(Paid 10/24/09)</t>
  </si>
  <si>
    <t>Exchange Rate at 10/24/09</t>
  </si>
  <si>
    <t>calculate payable or income accordingly?</t>
  </si>
  <si>
    <t>Rusher shares</t>
  </si>
  <si>
    <t>Voiles shares</t>
  </si>
  <si>
    <t>At 6/30/10 dividends payable:</t>
  </si>
  <si>
    <t>Almax Company declared dividens of $1 per share payable in July:</t>
  </si>
  <si>
    <t>Ruster Company declared dividends of $1 per share payable in July:</t>
  </si>
  <si>
    <t>Common Stock</t>
  </si>
  <si>
    <t>Par value per share</t>
  </si>
  <si>
    <t>Shares outstanding</t>
  </si>
  <si>
    <t>Cost of equipment</t>
  </si>
  <si>
    <t>Selling price</t>
  </si>
  <si>
    <t>Years remaining life</t>
  </si>
  <si>
    <t>Per year excess depreciation (Downward)</t>
  </si>
  <si>
    <t>Gain on sale of equiment (Downward)</t>
  </si>
  <si>
    <t>(6) 12/31/09 Intercompany PPE Transaction (Parent to Sub - Downward Transaction):</t>
  </si>
  <si>
    <t>(7) Intercompany Inventory Transactions:</t>
  </si>
  <si>
    <t xml:space="preserve">Intercompany sales </t>
  </si>
  <si>
    <t>Reduces sales and cost of goods sold</t>
  </si>
  <si>
    <t>Unrealized profit in ending inventory</t>
  </si>
  <si>
    <t>Unsold ending inv</t>
  </si>
  <si>
    <t>Gross profit</t>
  </si>
  <si>
    <t>Reduces inventory in B/S and increases C/G/S in I/S</t>
  </si>
  <si>
    <t>(8) Intercompany Balances Owed:</t>
  </si>
  <si>
    <t>Almax Company owed Ruster Company</t>
  </si>
  <si>
    <t>Ruster Company owed Voiles Company</t>
  </si>
  <si>
    <t>Voiles Company owed Almax Company</t>
  </si>
  <si>
    <t>Not considered intercompany</t>
  </si>
  <si>
    <t>Retained Earnings, End of Year (6/30/10)</t>
  </si>
  <si>
    <t>Retained Earnings, Beginning of Year (7/1/09)</t>
  </si>
  <si>
    <t>?</t>
  </si>
  <si>
    <t>Minority Interest Income Statement:</t>
  </si>
  <si>
    <t>Ruster's Net Income</t>
  </si>
  <si>
    <t>Minority Share</t>
  </si>
  <si>
    <t>Almax to Ruster</t>
  </si>
  <si>
    <t>Almax to Voiles</t>
  </si>
  <si>
    <t>Adustment to Beginning Retained Earnings:</t>
  </si>
  <si>
    <t>Ruster's R/E at 7/1/09</t>
  </si>
  <si>
    <t>Less: R/E at 7/1/07</t>
  </si>
  <si>
    <t>Less:Amortization (2008-2009)</t>
  </si>
  <si>
    <t>Voiles R/E at 7/1/09</t>
  </si>
  <si>
    <t>Less: Amortization (2008-2009)</t>
  </si>
  <si>
    <t>Minority Interest Balance Sheet:</t>
  </si>
  <si>
    <t>Ruster's Equity</t>
  </si>
  <si>
    <t>Comprehensive Income</t>
  </si>
  <si>
    <t xml:space="preserve">Accumulated Other </t>
  </si>
  <si>
    <t>Total Liabilities &amp; Equity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</si>
</sst>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_([$€-2]\ * #,##0.00_);_([$€-2]\ * \(#,##0.00\);_([$€-2]\ * &quot;-&quot;??_);_(@_)"/>
    <numFmt numFmtId="168" formatCode="_([$€-2]\ * #,##0_);_([$€-2]\ * \(#,##0\);_([$€-2]\ * &quot;-&quot;??_);_(@_)"/>
  </numFmts>
  <fonts count="1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Arial"/>
      <family val="2"/>
    </font>
    <font>
      <sz val="10"/>
      <color indexed="10"/>
      <name val="Arial"/>
    </font>
    <font>
      <u/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6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2" applyNumberFormat="1" applyFont="1"/>
    <xf numFmtId="3" fontId="0" fillId="0" borderId="0" xfId="0" applyNumberFormat="1"/>
    <xf numFmtId="6" fontId="0" fillId="0" borderId="0" xfId="0" applyNumberFormat="1"/>
    <xf numFmtId="165" fontId="0" fillId="0" borderId="0" xfId="1" applyNumberFormat="1" applyFont="1"/>
    <xf numFmtId="9" fontId="0" fillId="0" borderId="0" xfId="3" applyFon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4" fontId="0" fillId="0" borderId="2" xfId="0" applyNumberFormat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 indent="4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41" fontId="0" fillId="0" borderId="0" xfId="2" applyNumberFormat="1" applyFont="1"/>
    <xf numFmtId="165" fontId="0" fillId="0" borderId="0" xfId="0" applyNumberFormat="1"/>
    <xf numFmtId="164" fontId="0" fillId="0" borderId="0" xfId="0" applyNumberFormat="1" applyBorder="1"/>
    <xf numFmtId="0" fontId="0" fillId="0" borderId="1" xfId="0" applyBorder="1"/>
    <xf numFmtId="0" fontId="4" fillId="0" borderId="0" xfId="0" applyFont="1" applyAlignment="1">
      <alignment horizontal="left" indent="4"/>
    </xf>
    <xf numFmtId="164" fontId="0" fillId="0" borderId="1" xfId="2" applyNumberFormat="1" applyFont="1" applyBorder="1"/>
    <xf numFmtId="165" fontId="0" fillId="0" borderId="1" xfId="0" applyNumberFormat="1" applyBorder="1"/>
    <xf numFmtId="2" fontId="0" fillId="0" borderId="0" xfId="0" applyNumberFormat="1" applyBorder="1"/>
    <xf numFmtId="168" fontId="0" fillId="0" borderId="0" xfId="0" applyNumberFormat="1" applyBorder="1"/>
    <xf numFmtId="0" fontId="3" fillId="0" borderId="0" xfId="0" applyFont="1" applyAlignment="1">
      <alignment horizontal="center"/>
    </xf>
    <xf numFmtId="165" fontId="0" fillId="0" borderId="0" xfId="1" applyNumberFormat="1" applyFont="1" applyBorder="1"/>
    <xf numFmtId="4" fontId="0" fillId="0" borderId="1" xfId="0" applyNumberFormat="1" applyBorder="1"/>
    <xf numFmtId="166" fontId="3" fillId="0" borderId="0" xfId="0" applyNumberFormat="1" applyFont="1" applyAlignment="1">
      <alignment horizontal="left"/>
    </xf>
    <xf numFmtId="43" fontId="0" fillId="0" borderId="0" xfId="1" applyNumberFormat="1" applyFont="1" applyBorder="1"/>
    <xf numFmtId="0" fontId="7" fillId="0" borderId="0" xfId="0" applyFont="1"/>
    <xf numFmtId="167" fontId="0" fillId="0" borderId="0" xfId="1" applyNumberFormat="1" applyFont="1"/>
    <xf numFmtId="167" fontId="0" fillId="0" borderId="1" xfId="2" applyNumberFormat="1" applyFont="1" applyBorder="1"/>
    <xf numFmtId="0" fontId="8" fillId="0" borderId="0" xfId="0" applyFont="1"/>
    <xf numFmtId="3" fontId="0" fillId="0" borderId="1" xfId="0" applyNumberFormat="1" applyBorder="1"/>
    <xf numFmtId="0" fontId="9" fillId="0" borderId="0" xfId="0" applyFont="1"/>
    <xf numFmtId="164" fontId="0" fillId="0" borderId="2" xfId="2" applyNumberFormat="1" applyFont="1" applyBorder="1"/>
    <xf numFmtId="165" fontId="0" fillId="0" borderId="0" xfId="1" applyNumberFormat="1" applyFont="1" applyAlignment="1">
      <alignment horizontal="left"/>
    </xf>
    <xf numFmtId="41" fontId="0" fillId="0" borderId="0" xfId="0" applyNumberFormat="1"/>
    <xf numFmtId="2" fontId="0" fillId="0" borderId="1" xfId="0" applyNumberFormat="1" applyBorder="1"/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165" fontId="11" fillId="0" borderId="0" xfId="1" applyNumberFormat="1" applyFont="1" applyAlignment="1">
      <alignment horizontal="center" wrapText="1"/>
    </xf>
    <xf numFmtId="165" fontId="11" fillId="2" borderId="0" xfId="1" applyNumberFormat="1" applyFont="1" applyFill="1"/>
    <xf numFmtId="42" fontId="11" fillId="0" borderId="0" xfId="1" applyNumberFormat="1" applyFont="1"/>
    <xf numFmtId="41" fontId="11" fillId="0" borderId="0" xfId="0" applyNumberFormat="1" applyFont="1"/>
    <xf numFmtId="0" fontId="11" fillId="0" borderId="0" xfId="0" applyFont="1" applyAlignment="1">
      <alignment horizontal="left" indent="5"/>
    </xf>
    <xf numFmtId="165" fontId="11" fillId="0" borderId="3" xfId="1" applyNumberFormat="1" applyFont="1" applyBorder="1"/>
    <xf numFmtId="0" fontId="11" fillId="0" borderId="0" xfId="0" applyFont="1" applyAlignment="1">
      <alignment horizontal="left" indent="1"/>
    </xf>
    <xf numFmtId="165" fontId="11" fillId="0" borderId="1" xfId="1" applyNumberFormat="1" applyFont="1" applyBorder="1"/>
    <xf numFmtId="165" fontId="11" fillId="0" borderId="0" xfId="1" applyNumberFormat="1" applyFont="1" applyBorder="1"/>
    <xf numFmtId="0" fontId="11" fillId="0" borderId="0" xfId="0" applyFont="1" applyAlignment="1">
      <alignment horizontal="left" indent="3"/>
    </xf>
    <xf numFmtId="0" fontId="10" fillId="0" borderId="0" xfId="0" applyFont="1"/>
    <xf numFmtId="0" fontId="13" fillId="0" borderId="0" xfId="0" applyFont="1"/>
    <xf numFmtId="165" fontId="11" fillId="2" borderId="0" xfId="1" applyNumberFormat="1" applyFont="1" applyFill="1" applyAlignment="1">
      <alignment horizontal="center"/>
    </xf>
    <xf numFmtId="0" fontId="14" fillId="0" borderId="0" xfId="0" applyFont="1"/>
    <xf numFmtId="165" fontId="11" fillId="3" borderId="0" xfId="1" applyNumberFormat="1" applyFont="1" applyFill="1"/>
    <xf numFmtId="0" fontId="10" fillId="3" borderId="0" xfId="0" applyFont="1" applyFill="1" applyAlignment="1">
      <alignment horizontal="center"/>
    </xf>
    <xf numFmtId="42" fontId="11" fillId="3" borderId="0" xfId="1" applyNumberFormat="1" applyFont="1" applyFill="1"/>
    <xf numFmtId="165" fontId="12" fillId="3" borderId="0" xfId="1" applyNumberFormat="1" applyFont="1" applyFill="1"/>
    <xf numFmtId="165" fontId="12" fillId="3" borderId="0" xfId="1" applyNumberFormat="1" applyFont="1" applyFill="1" applyAlignment="1">
      <alignment horizontal="center"/>
    </xf>
    <xf numFmtId="166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/>
    <xf numFmtId="164" fontId="11" fillId="0" borderId="0" xfId="2" applyNumberFormat="1" applyFont="1"/>
    <xf numFmtId="164" fontId="11" fillId="2" borderId="0" xfId="2" applyNumberFormat="1" applyFont="1" applyFill="1"/>
    <xf numFmtId="164" fontId="11" fillId="0" borderId="0" xfId="0" applyNumberFormat="1" applyFont="1"/>
    <xf numFmtId="165" fontId="11" fillId="2" borderId="0" xfId="0" applyNumberFormat="1" applyFont="1" applyFill="1"/>
    <xf numFmtId="164" fontId="11" fillId="0" borderId="1" xfId="0" applyNumberFormat="1" applyFont="1" applyBorder="1"/>
    <xf numFmtId="165" fontId="11" fillId="0" borderId="0" xfId="0" applyNumberFormat="1" applyFont="1"/>
    <xf numFmtId="165" fontId="11" fillId="0" borderId="1" xfId="0" applyNumberFormat="1" applyFont="1" applyBorder="1"/>
    <xf numFmtId="164" fontId="11" fillId="0" borderId="3" xfId="0" applyNumberFormat="1" applyFont="1" applyBorder="1"/>
    <xf numFmtId="41" fontId="11" fillId="2" borderId="0" xfId="0" applyNumberFormat="1" applyFont="1" applyFill="1"/>
    <xf numFmtId="41" fontId="11" fillId="0" borderId="1" xfId="0" applyNumberFormat="1" applyFont="1" applyBorder="1"/>
    <xf numFmtId="41" fontId="11" fillId="0" borderId="3" xfId="0" applyNumberFormat="1" applyFont="1" applyBorder="1"/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164" fontId="11" fillId="0" borderId="2" xfId="0" applyNumberFormat="1" applyFont="1" applyBorder="1"/>
    <xf numFmtId="0" fontId="16" fillId="0" borderId="0" xfId="0" applyFont="1" applyFill="1" applyBorder="1"/>
    <xf numFmtId="165" fontId="11" fillId="0" borderId="0" xfId="1" applyNumberFormat="1" applyFont="1" applyAlignment="1">
      <alignment horizontal="left" indent="2"/>
    </xf>
    <xf numFmtId="165" fontId="11" fillId="0" borderId="1" xfId="1" applyNumberFormat="1" applyFont="1" applyBorder="1" applyAlignment="1">
      <alignment horizontal="left" indent="2"/>
    </xf>
    <xf numFmtId="4" fontId="11" fillId="0" borderId="0" xfId="0" applyNumberFormat="1" applyFont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6" fillId="0" borderId="0" xfId="0" applyFont="1"/>
    <xf numFmtId="168" fontId="11" fillId="0" borderId="0" xfId="1" applyNumberFormat="1" applyFont="1" applyBorder="1"/>
    <xf numFmtId="39" fontId="11" fillId="0" borderId="0" xfId="2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65" fontId="11" fillId="0" borderId="0" xfId="2" applyNumberFormat="1" applyFont="1"/>
    <xf numFmtId="165" fontId="11" fillId="0" borderId="1" xfId="2" applyNumberFormat="1" applyFont="1" applyBorder="1"/>
    <xf numFmtId="168" fontId="11" fillId="0" borderId="2" xfId="1" applyNumberFormat="1" applyFont="1" applyBorder="1"/>
    <xf numFmtId="164" fontId="11" fillId="0" borderId="3" xfId="2" applyNumberFormat="1" applyFont="1" applyBorder="1"/>
    <xf numFmtId="165" fontId="11" fillId="0" borderId="0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zoomScale="80" zoomScaleNormal="80" workbookViewId="0"/>
  </sheetViews>
  <sheetFormatPr defaultRowHeight="12.75"/>
  <cols>
    <col min="1" max="1" width="14.5703125" customWidth="1"/>
    <col min="2" max="2" width="15.7109375" customWidth="1"/>
    <col min="3" max="3" width="10.5703125" customWidth="1"/>
    <col min="4" max="5" width="10.7109375" bestFit="1" customWidth="1"/>
    <col min="6" max="6" width="10.140625" bestFit="1" customWidth="1"/>
    <col min="7" max="7" width="5.140625" bestFit="1" customWidth="1"/>
    <col min="8" max="8" width="15.5703125" bestFit="1" customWidth="1"/>
    <col min="9" max="9" width="3.7109375" customWidth="1"/>
    <col min="10" max="10" width="15.140625" bestFit="1" customWidth="1"/>
  </cols>
  <sheetData>
    <row r="2" spans="1:10">
      <c r="A2" s="14" t="s">
        <v>0</v>
      </c>
    </row>
    <row r="4" spans="1:10">
      <c r="A4" t="s">
        <v>81</v>
      </c>
    </row>
    <row r="5" spans="1:10">
      <c r="H5" s="24" t="s">
        <v>45</v>
      </c>
      <c r="I5" s="14"/>
      <c r="J5" s="24" t="s">
        <v>46</v>
      </c>
    </row>
    <row r="6" spans="1:10">
      <c r="H6" s="13"/>
      <c r="J6" s="13"/>
    </row>
    <row r="7" spans="1:10">
      <c r="B7" t="s">
        <v>2</v>
      </c>
      <c r="H7" s="2">
        <v>400000</v>
      </c>
      <c r="J7" s="2">
        <v>800000</v>
      </c>
    </row>
    <row r="8" spans="1:10">
      <c r="B8" t="s">
        <v>4</v>
      </c>
      <c r="C8" s="3">
        <v>50</v>
      </c>
      <c r="D8" t="s">
        <v>5</v>
      </c>
      <c r="H8" s="1">
        <v>25000000</v>
      </c>
      <c r="J8" s="1">
        <v>40000000</v>
      </c>
    </row>
    <row r="9" spans="1:10">
      <c r="B9" t="s">
        <v>3</v>
      </c>
      <c r="H9" s="8">
        <f>H8/C8</f>
        <v>500000</v>
      </c>
      <c r="J9" s="8">
        <f>J8/C8</f>
        <v>800000</v>
      </c>
    </row>
    <row r="10" spans="1:10">
      <c r="B10" t="s">
        <v>6</v>
      </c>
      <c r="H10" s="5">
        <f>H7/H9</f>
        <v>0.8</v>
      </c>
      <c r="J10" s="5">
        <f>J7/J9</f>
        <v>1</v>
      </c>
    </row>
    <row r="12" spans="1:10">
      <c r="A12" t="s">
        <v>65</v>
      </c>
    </row>
    <row r="13" spans="1:10">
      <c r="B13" t="s">
        <v>62</v>
      </c>
      <c r="H13" s="1">
        <v>34000000</v>
      </c>
      <c r="J13" s="1">
        <v>65000000</v>
      </c>
    </row>
    <row r="14" spans="1:10">
      <c r="B14" t="s">
        <v>63</v>
      </c>
      <c r="H14" s="15">
        <v>40000000</v>
      </c>
      <c r="J14" s="15">
        <v>60000000</v>
      </c>
    </row>
    <row r="15" spans="1:10">
      <c r="B15" t="s">
        <v>64</v>
      </c>
      <c r="H15" s="37">
        <f>H10*H14</f>
        <v>32000000</v>
      </c>
      <c r="J15" s="15">
        <f>J10*J14</f>
        <v>60000000</v>
      </c>
    </row>
    <row r="16" spans="1:10">
      <c r="B16" s="6"/>
      <c r="H16" s="17"/>
      <c r="J16" s="18"/>
    </row>
    <row r="17" spans="1:10" ht="13.5" thickBot="1">
      <c r="C17" t="s">
        <v>7</v>
      </c>
      <c r="H17" s="9">
        <f>H13-H15</f>
        <v>2000000</v>
      </c>
      <c r="J17" s="9">
        <f>J13-J15</f>
        <v>5000000</v>
      </c>
    </row>
    <row r="18" spans="1:10" ht="13.5" thickTop="1">
      <c r="H18" s="17"/>
      <c r="J18" s="22"/>
    </row>
    <row r="19" spans="1:10">
      <c r="H19" s="17"/>
      <c r="J19" s="23"/>
    </row>
    <row r="21" spans="1:10">
      <c r="A21" t="s">
        <v>66</v>
      </c>
    </row>
    <row r="23" spans="1:10">
      <c r="A23" s="6" t="s">
        <v>45</v>
      </c>
    </row>
    <row r="24" spans="1:10">
      <c r="B24" s="10" t="s">
        <v>11</v>
      </c>
      <c r="C24" s="10"/>
      <c r="D24" s="10"/>
      <c r="E24" s="10"/>
    </row>
    <row r="25" spans="1:10">
      <c r="B25" t="s">
        <v>8</v>
      </c>
      <c r="C25" s="13" t="s">
        <v>67</v>
      </c>
      <c r="D25" s="13" t="s">
        <v>68</v>
      </c>
      <c r="E25" s="13" t="s">
        <v>69</v>
      </c>
    </row>
    <row r="26" spans="1:10">
      <c r="A26" t="s">
        <v>9</v>
      </c>
      <c r="B26" s="1">
        <v>1000000</v>
      </c>
      <c r="C26" s="7">
        <f>$B$26/10</f>
        <v>100000</v>
      </c>
      <c r="D26" s="7">
        <f>$B$26/10</f>
        <v>100000</v>
      </c>
      <c r="E26" s="7">
        <f>$B$26/10</f>
        <v>100000</v>
      </c>
      <c r="F26" s="7"/>
    </row>
    <row r="27" spans="1:10">
      <c r="A27" t="s">
        <v>10</v>
      </c>
      <c r="B27" s="20">
        <v>1000000</v>
      </c>
      <c r="C27" s="18"/>
      <c r="D27" s="18"/>
      <c r="E27" s="18"/>
    </row>
    <row r="28" spans="1:10">
      <c r="A28" s="11" t="s">
        <v>12</v>
      </c>
      <c r="B28" s="7">
        <f>SUM(B26:B27)</f>
        <v>2000000</v>
      </c>
      <c r="C28" s="7">
        <f>SUM(C26:C27)</f>
        <v>100000</v>
      </c>
      <c r="D28" s="7">
        <f>SUM(D26:D27)</f>
        <v>100000</v>
      </c>
      <c r="E28" s="7">
        <f>SUM(E26:E27)</f>
        <v>100000</v>
      </c>
      <c r="F28" s="7"/>
    </row>
    <row r="30" spans="1:10">
      <c r="A30" s="6" t="s">
        <v>46</v>
      </c>
    </row>
    <row r="32" spans="1:10">
      <c r="A32" t="s">
        <v>9</v>
      </c>
      <c r="B32" s="1">
        <v>2500000</v>
      </c>
      <c r="C32" s="7">
        <f>$B$32/10</f>
        <v>250000</v>
      </c>
      <c r="D32" s="7">
        <f>$B$32/10</f>
        <v>250000</v>
      </c>
      <c r="E32" s="7">
        <f>$B$32/10</f>
        <v>250000</v>
      </c>
      <c r="F32" s="7"/>
    </row>
    <row r="33" spans="1:5">
      <c r="A33" t="s">
        <v>10</v>
      </c>
      <c r="B33" s="20">
        <v>2500000</v>
      </c>
      <c r="C33" s="18"/>
      <c r="D33" s="18"/>
      <c r="E33" s="18"/>
    </row>
    <row r="34" spans="1:5">
      <c r="A34" s="19" t="s">
        <v>12</v>
      </c>
      <c r="B34" s="7">
        <f>SUM(B32:B33)</f>
        <v>5000000</v>
      </c>
      <c r="C34" s="7">
        <f>SUM(C32:C33)</f>
        <v>250000</v>
      </c>
      <c r="D34" s="7">
        <f>SUM(D32:D33)</f>
        <v>250000</v>
      </c>
      <c r="E34" s="7">
        <f>SUM(E32:E33)</f>
        <v>250000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8"/>
  <sheetViews>
    <sheetView topLeftCell="A40" zoomScale="80" zoomScaleNormal="80" workbookViewId="0">
      <selection activeCell="E59" sqref="E59"/>
    </sheetView>
  </sheetViews>
  <sheetFormatPr defaultRowHeight="12.75"/>
  <cols>
    <col min="2" max="2" width="27.42578125" customWidth="1"/>
    <col min="3" max="3" width="15.7109375" customWidth="1"/>
    <col min="4" max="4" width="15" bestFit="1" customWidth="1"/>
    <col min="5" max="5" width="15" customWidth="1"/>
    <col min="6" max="6" width="15.140625" customWidth="1"/>
    <col min="7" max="7" width="14" bestFit="1" customWidth="1"/>
  </cols>
  <sheetData>
    <row r="1" spans="1:7" ht="15.75">
      <c r="A1" s="29" t="s">
        <v>74</v>
      </c>
    </row>
    <row r="3" spans="1:7">
      <c r="B3" s="14" t="s">
        <v>98</v>
      </c>
    </row>
    <row r="5" spans="1:7">
      <c r="B5" t="s">
        <v>99</v>
      </c>
      <c r="F5" s="2">
        <v>1680000</v>
      </c>
    </row>
    <row r="6" spans="1:7">
      <c r="F6" s="26">
        <v>0.75</v>
      </c>
      <c r="G6" t="s">
        <v>100</v>
      </c>
    </row>
    <row r="7" spans="1:7">
      <c r="C7" s="7"/>
      <c r="F7" s="4">
        <f>F5*F6</f>
        <v>1260000</v>
      </c>
      <c r="G7" t="s">
        <v>101</v>
      </c>
    </row>
    <row r="8" spans="1:7">
      <c r="C8" s="7"/>
      <c r="F8" s="4"/>
    </row>
    <row r="9" spans="1:7">
      <c r="B9" s="14" t="s">
        <v>102</v>
      </c>
      <c r="C9" s="7"/>
      <c r="F9" s="4"/>
    </row>
    <row r="10" spans="1:7">
      <c r="C10" s="7"/>
      <c r="F10" s="4"/>
    </row>
    <row r="11" spans="1:7">
      <c r="B11" t="s">
        <v>103</v>
      </c>
      <c r="C11" s="7"/>
      <c r="F11" s="3">
        <v>1300000</v>
      </c>
    </row>
    <row r="12" spans="1:7">
      <c r="C12" s="7"/>
      <c r="F12" s="28"/>
    </row>
    <row r="14" spans="1:7" ht="15.75">
      <c r="A14" s="29" t="s">
        <v>104</v>
      </c>
    </row>
    <row r="16" spans="1:7">
      <c r="B16" t="s">
        <v>44</v>
      </c>
      <c r="C16" s="1">
        <v>2400000</v>
      </c>
    </row>
    <row r="17" spans="2:5">
      <c r="B17" t="s">
        <v>45</v>
      </c>
      <c r="C17" s="1">
        <v>2500000</v>
      </c>
    </row>
    <row r="18" spans="2:5">
      <c r="C18" s="1"/>
    </row>
    <row r="19" spans="2:5">
      <c r="B19" t="s">
        <v>46</v>
      </c>
      <c r="C19" s="1">
        <v>800000</v>
      </c>
      <c r="D19" t="s">
        <v>105</v>
      </c>
    </row>
    <row r="20" spans="2:5">
      <c r="C20" s="31">
        <v>0.66659999999999997</v>
      </c>
      <c r="D20" t="s">
        <v>106</v>
      </c>
    </row>
    <row r="21" spans="2:5">
      <c r="C21" s="30">
        <f>C19*C20</f>
        <v>533280</v>
      </c>
      <c r="D21" s="32" t="s">
        <v>107</v>
      </c>
    </row>
    <row r="23" spans="2:5">
      <c r="B23" s="34" t="s">
        <v>111</v>
      </c>
      <c r="C23" s="34"/>
      <c r="D23" s="34"/>
    </row>
    <row r="24" spans="2:5">
      <c r="B24" s="6" t="s">
        <v>110</v>
      </c>
      <c r="D24" s="2">
        <v>400000</v>
      </c>
      <c r="E24" t="s">
        <v>108</v>
      </c>
    </row>
    <row r="25" spans="2:5">
      <c r="D25" s="33">
        <v>800000</v>
      </c>
      <c r="E25" t="s">
        <v>109</v>
      </c>
    </row>
    <row r="26" spans="2:5">
      <c r="D26" s="2">
        <f>SUM(D24:D25)</f>
        <v>1200000</v>
      </c>
    </row>
    <row r="27" spans="2:5">
      <c r="D27" s="20">
        <v>1</v>
      </c>
    </row>
    <row r="28" spans="2:5" ht="13.5" thickBot="1">
      <c r="D28" s="9">
        <f>D26*D27</f>
        <v>1200000</v>
      </c>
    </row>
    <row r="29" spans="2:5" ht="13.5" thickTop="1"/>
    <row r="30" spans="2:5">
      <c r="B30" t="s">
        <v>112</v>
      </c>
    </row>
    <row r="31" spans="2:5">
      <c r="B31" s="6" t="s">
        <v>110</v>
      </c>
      <c r="D31" s="1">
        <v>25000000</v>
      </c>
      <c r="E31" t="s">
        <v>113</v>
      </c>
    </row>
    <row r="32" spans="2:5">
      <c r="D32" s="20">
        <v>50</v>
      </c>
      <c r="E32" t="s">
        <v>114</v>
      </c>
    </row>
    <row r="33" spans="1:5">
      <c r="D33" s="4">
        <f>D31/D32</f>
        <v>500000</v>
      </c>
      <c r="E33" t="s">
        <v>115</v>
      </c>
    </row>
    <row r="34" spans="1:5">
      <c r="D34" s="20">
        <v>1</v>
      </c>
    </row>
    <row r="35" spans="1:5" ht="13.5" thickBot="1">
      <c r="D35" s="35">
        <f>D33*D34</f>
        <v>500000</v>
      </c>
    </row>
    <row r="36" spans="1:5" ht="13.5" thickTop="1"/>
    <row r="38" spans="1:5" ht="15.75">
      <c r="A38" s="29" t="s">
        <v>121</v>
      </c>
    </row>
    <row r="40" spans="1:5">
      <c r="B40" s="1">
        <v>1000000</v>
      </c>
      <c r="C40" t="s">
        <v>116</v>
      </c>
    </row>
    <row r="41" spans="1:5">
      <c r="B41" s="20">
        <v>800000</v>
      </c>
      <c r="C41" t="s">
        <v>117</v>
      </c>
    </row>
    <row r="42" spans="1:5">
      <c r="B42" s="7">
        <f>B40-B41</f>
        <v>200000</v>
      </c>
      <c r="C42" t="s">
        <v>120</v>
      </c>
    </row>
    <row r="43" spans="1:5">
      <c r="B43">
        <v>10</v>
      </c>
      <c r="C43" t="s">
        <v>118</v>
      </c>
    </row>
    <row r="44" spans="1:5">
      <c r="B44" s="7">
        <f>B42/B43</f>
        <v>20000</v>
      </c>
      <c r="C44" t="s">
        <v>119</v>
      </c>
    </row>
    <row r="47" spans="1:5" ht="15.75">
      <c r="A47" s="29" t="s">
        <v>122</v>
      </c>
    </row>
    <row r="49" spans="1:6">
      <c r="B49" t="s">
        <v>123</v>
      </c>
      <c r="C49" s="1">
        <v>17200000</v>
      </c>
    </row>
    <row r="50" spans="1:6">
      <c r="C50" s="4">
        <v>16000000</v>
      </c>
    </row>
    <row r="51" spans="1:6">
      <c r="C51" s="8">
        <v>2800000</v>
      </c>
    </row>
    <row r="52" spans="1:6" ht="13.5" thickBot="1">
      <c r="C52" s="9">
        <f>SUM(C49:C51)</f>
        <v>36000000</v>
      </c>
      <c r="D52" t="s">
        <v>124</v>
      </c>
    </row>
    <row r="53" spans="1:6" ht="13.5" thickTop="1"/>
    <row r="55" spans="1:6">
      <c r="B55" t="s">
        <v>125</v>
      </c>
    </row>
    <row r="56" spans="1:6">
      <c r="C56" t="s">
        <v>126</v>
      </c>
      <c r="D56" t="s">
        <v>127</v>
      </c>
    </row>
    <row r="57" spans="1:6">
      <c r="B57" t="s">
        <v>140</v>
      </c>
      <c r="C57" s="36">
        <v>2000000</v>
      </c>
      <c r="D57">
        <v>0.25</v>
      </c>
      <c r="E57" s="16">
        <f>C57*D57</f>
        <v>500000</v>
      </c>
    </row>
    <row r="58" spans="1:6">
      <c r="B58" t="s">
        <v>141</v>
      </c>
      <c r="C58" s="36">
        <v>4000000</v>
      </c>
      <c r="D58">
        <v>0.25</v>
      </c>
      <c r="E58" s="21">
        <f>C58*D58</f>
        <v>1000000</v>
      </c>
    </row>
    <row r="59" spans="1:6">
      <c r="E59" s="16">
        <f>E57+E58</f>
        <v>1500000</v>
      </c>
      <c r="F59" t="s">
        <v>128</v>
      </c>
    </row>
    <row r="62" spans="1:6" ht="15.75">
      <c r="A62" s="29" t="s">
        <v>129</v>
      </c>
    </row>
    <row r="64" spans="1:6">
      <c r="B64" t="s">
        <v>130</v>
      </c>
      <c r="D64" s="4">
        <v>2400000</v>
      </c>
    </row>
    <row r="65" spans="2:6">
      <c r="B65" t="s">
        <v>132</v>
      </c>
      <c r="D65" s="8">
        <v>1200000</v>
      </c>
    </row>
    <row r="66" spans="2:6">
      <c r="D66" s="4">
        <f>D64+D65</f>
        <v>3600000</v>
      </c>
    </row>
    <row r="68" spans="2:6">
      <c r="B68" t="s">
        <v>131</v>
      </c>
      <c r="D68" s="4">
        <v>1600000</v>
      </c>
      <c r="E68" t="s">
        <v>133</v>
      </c>
    </row>
    <row r="72" spans="2:6">
      <c r="B72" s="14" t="s">
        <v>137</v>
      </c>
      <c r="E72" s="14" t="s">
        <v>148</v>
      </c>
    </row>
    <row r="74" spans="2:6">
      <c r="B74" t="s">
        <v>138</v>
      </c>
      <c r="C74" s="1">
        <v>6160000</v>
      </c>
      <c r="E74" t="s">
        <v>149</v>
      </c>
      <c r="F74" s="25">
        <f>'Consolidated BS'!C30</f>
        <v>25000000</v>
      </c>
    </row>
    <row r="75" spans="2:6">
      <c r="B75" t="s">
        <v>139</v>
      </c>
      <c r="C75" s="38">
        <v>0.2</v>
      </c>
      <c r="F75" s="8">
        <f>'Consolidated BS'!C31</f>
        <v>23160000</v>
      </c>
    </row>
    <row r="76" spans="2:6" ht="13.5" thickBot="1">
      <c r="C76" s="35">
        <f>C74*C75</f>
        <v>1232000</v>
      </c>
      <c r="F76" s="16">
        <f>F74+F75</f>
        <v>48160000</v>
      </c>
    </row>
    <row r="77" spans="2:6" ht="13.5" thickTop="1">
      <c r="F77" s="38">
        <v>0.2</v>
      </c>
    </row>
    <row r="78" spans="2:6">
      <c r="F78" s="25">
        <f>F76*F77</f>
        <v>9632000</v>
      </c>
    </row>
    <row r="80" spans="2:6">
      <c r="B80" s="14" t="s">
        <v>142</v>
      </c>
    </row>
    <row r="82" spans="2:7">
      <c r="B82" t="s">
        <v>143</v>
      </c>
      <c r="C82" s="2">
        <v>20000000</v>
      </c>
      <c r="E82" t="s">
        <v>146</v>
      </c>
      <c r="G82" s="4">
        <v>18215550</v>
      </c>
    </row>
    <row r="83" spans="2:7">
      <c r="B83" t="s">
        <v>144</v>
      </c>
      <c r="C83" s="33">
        <v>15000000</v>
      </c>
      <c r="E83" t="s">
        <v>144</v>
      </c>
      <c r="G83" s="33">
        <v>20000000</v>
      </c>
    </row>
    <row r="84" spans="2:7">
      <c r="C84" s="2">
        <f>C82-C83</f>
        <v>5000000</v>
      </c>
      <c r="G84" s="16">
        <f>G82-G83</f>
        <v>-1784450</v>
      </c>
    </row>
    <row r="85" spans="2:7">
      <c r="C85" s="18">
        <v>0.8</v>
      </c>
      <c r="E85" t="s">
        <v>147</v>
      </c>
      <c r="G85" s="8">
        <f>'Schedule of Allocation'!D34</f>
        <v>250000</v>
      </c>
    </row>
    <row r="86" spans="2:7">
      <c r="C86" s="4">
        <f>C84*C85</f>
        <v>4000000</v>
      </c>
      <c r="G86" s="16">
        <f>G84-G85</f>
        <v>-2034450</v>
      </c>
    </row>
    <row r="87" spans="2:7">
      <c r="B87" t="s">
        <v>145</v>
      </c>
      <c r="C87" s="33">
        <v>100000</v>
      </c>
    </row>
    <row r="88" spans="2:7">
      <c r="C88" s="16">
        <f>C86-C87</f>
        <v>3900000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5" sqref="B15"/>
    </sheetView>
  </sheetViews>
  <sheetFormatPr defaultRowHeight="12.75"/>
  <cols>
    <col min="1" max="1" width="24.85546875" bestFit="1" customWidth="1"/>
    <col min="2" max="4" width="16.5703125" bestFit="1" customWidth="1"/>
  </cols>
  <sheetData>
    <row r="1" spans="1:4">
      <c r="A1" s="14" t="s">
        <v>16</v>
      </c>
    </row>
    <row r="2" spans="1:4">
      <c r="A2" s="14" t="s">
        <v>17</v>
      </c>
    </row>
    <row r="3" spans="1:4">
      <c r="A3" s="27">
        <v>40359</v>
      </c>
    </row>
    <row r="5" spans="1:4" ht="25.5">
      <c r="B5" s="12" t="s">
        <v>18</v>
      </c>
      <c r="C5" s="12" t="s">
        <v>19</v>
      </c>
      <c r="D5" s="12" t="s">
        <v>20</v>
      </c>
    </row>
    <row r="7" spans="1:4">
      <c r="A7" t="s">
        <v>21</v>
      </c>
      <c r="B7" s="1">
        <v>8800000</v>
      </c>
      <c r="C7" s="1">
        <v>14150000</v>
      </c>
      <c r="D7" s="1">
        <v>9400000</v>
      </c>
    </row>
    <row r="8" spans="1:4">
      <c r="A8" t="s">
        <v>22</v>
      </c>
      <c r="B8" s="15">
        <v>10600000</v>
      </c>
      <c r="C8" s="15">
        <v>14670000</v>
      </c>
      <c r="D8" s="15">
        <v>13000000</v>
      </c>
    </row>
    <row r="9" spans="1:4">
      <c r="A9" t="s">
        <v>23</v>
      </c>
      <c r="B9" s="15">
        <v>400000</v>
      </c>
      <c r="C9" s="15">
        <v>0</v>
      </c>
      <c r="D9" s="15">
        <v>0</v>
      </c>
    </row>
    <row r="10" spans="1:4">
      <c r="A10" t="s">
        <v>24</v>
      </c>
      <c r="B10" s="15">
        <v>13750000</v>
      </c>
      <c r="C10" s="15">
        <v>16300000</v>
      </c>
      <c r="D10" s="15">
        <v>16500000</v>
      </c>
    </row>
    <row r="11" spans="1:4">
      <c r="A11" t="s">
        <v>1</v>
      </c>
      <c r="B11" s="15">
        <v>34000000</v>
      </c>
      <c r="C11" s="15">
        <v>0</v>
      </c>
      <c r="D11" s="15">
        <v>0</v>
      </c>
    </row>
    <row r="12" spans="1:4">
      <c r="A12" t="s">
        <v>25</v>
      </c>
      <c r="B12" s="15">
        <v>65000000</v>
      </c>
      <c r="C12" s="15">
        <v>0</v>
      </c>
      <c r="D12" s="15">
        <v>0</v>
      </c>
    </row>
    <row r="13" spans="1:4">
      <c r="A13" t="s">
        <v>26</v>
      </c>
      <c r="B13" s="15">
        <v>14800000</v>
      </c>
      <c r="C13" s="15">
        <v>0</v>
      </c>
      <c r="D13" s="15">
        <v>0</v>
      </c>
    </row>
    <row r="14" spans="1:4">
      <c r="A14" t="s">
        <v>27</v>
      </c>
      <c r="B14" s="15">
        <v>63900000</v>
      </c>
      <c r="C14" s="15">
        <v>56600000</v>
      </c>
      <c r="D14" s="15">
        <v>86500000</v>
      </c>
    </row>
    <row r="15" spans="1:4">
      <c r="A15" t="s">
        <v>28</v>
      </c>
      <c r="B15" s="15">
        <v>-40200000</v>
      </c>
      <c r="C15" s="15">
        <v>-22500000</v>
      </c>
      <c r="D15" s="15">
        <v>-51115000</v>
      </c>
    </row>
    <row r="16" spans="1:4">
      <c r="B16" s="15"/>
      <c r="C16" s="15"/>
      <c r="D16" s="15"/>
    </row>
    <row r="17" spans="1:4">
      <c r="A17" t="s">
        <v>29</v>
      </c>
      <c r="B17" s="15">
        <v>-20200000</v>
      </c>
      <c r="C17" s="15">
        <v>-10640000</v>
      </c>
      <c r="D17" s="15">
        <v>-10230000</v>
      </c>
    </row>
    <row r="18" spans="1:4">
      <c r="A18" t="s">
        <v>30</v>
      </c>
      <c r="B18" s="15">
        <v>-1200000</v>
      </c>
      <c r="C18" s="15">
        <v>-500000</v>
      </c>
      <c r="D18" s="15">
        <v>0</v>
      </c>
    </row>
    <row r="19" spans="1:4">
      <c r="A19" t="s">
        <v>31</v>
      </c>
      <c r="B19" s="15">
        <v>-55000000</v>
      </c>
      <c r="C19" s="15">
        <v>-20000000</v>
      </c>
      <c r="D19" s="15">
        <v>0</v>
      </c>
    </row>
    <row r="20" spans="1:4">
      <c r="A20" t="s">
        <v>32</v>
      </c>
      <c r="B20" s="15">
        <v>0</v>
      </c>
      <c r="C20" s="15">
        <v>80000</v>
      </c>
      <c r="D20" s="15">
        <v>0</v>
      </c>
    </row>
    <row r="21" spans="1:4">
      <c r="B21" s="15"/>
      <c r="C21" s="15"/>
      <c r="D21" s="15"/>
    </row>
    <row r="22" spans="1:4">
      <c r="A22" t="s">
        <v>33</v>
      </c>
      <c r="B22" s="15">
        <v>-60000000</v>
      </c>
      <c r="C22" s="15">
        <v>-25000000</v>
      </c>
      <c r="D22" s="15">
        <v>-39000000</v>
      </c>
    </row>
    <row r="23" spans="1:4">
      <c r="A23" t="s">
        <v>34</v>
      </c>
      <c r="B23" s="15">
        <v>3600000</v>
      </c>
      <c r="C23" s="15">
        <v>3000000</v>
      </c>
      <c r="D23" s="15">
        <v>820000</v>
      </c>
    </row>
    <row r="24" spans="1:4">
      <c r="A24" t="s">
        <v>35</v>
      </c>
      <c r="B24" s="15">
        <v>-31420000</v>
      </c>
      <c r="C24" s="15">
        <v>-20000000</v>
      </c>
      <c r="D24" s="15">
        <v>-12875000</v>
      </c>
    </row>
    <row r="25" spans="1:4">
      <c r="B25" s="15"/>
      <c r="C25" s="15"/>
      <c r="D25" s="15"/>
    </row>
    <row r="26" spans="1:4">
      <c r="A26" t="s">
        <v>36</v>
      </c>
      <c r="B26" s="15">
        <v>-294850000</v>
      </c>
      <c r="C26" s="15">
        <v>-155000000</v>
      </c>
      <c r="D26" s="15">
        <v>-225000000</v>
      </c>
    </row>
    <row r="27" spans="1:4">
      <c r="A27" t="s">
        <v>37</v>
      </c>
      <c r="B27" s="15">
        <v>-200000</v>
      </c>
      <c r="C27" s="15">
        <v>0</v>
      </c>
      <c r="D27" s="15">
        <v>0</v>
      </c>
    </row>
    <row r="28" spans="1:4">
      <c r="A28" t="s">
        <v>38</v>
      </c>
      <c r="B28" s="15">
        <v>-1300000</v>
      </c>
      <c r="C28" s="15">
        <v>0</v>
      </c>
      <c r="D28" s="15">
        <v>0</v>
      </c>
    </row>
    <row r="29" spans="1:4">
      <c r="A29" t="s">
        <v>39</v>
      </c>
      <c r="B29" s="15">
        <v>-3200000</v>
      </c>
      <c r="C29" s="15">
        <v>0</v>
      </c>
      <c r="D29" s="15">
        <v>0</v>
      </c>
    </row>
    <row r="30" spans="1:4">
      <c r="A30" t="s">
        <v>40</v>
      </c>
      <c r="B30" s="15">
        <v>250000000</v>
      </c>
      <c r="C30" s="15">
        <v>119160000</v>
      </c>
      <c r="D30" s="15">
        <v>175000000</v>
      </c>
    </row>
    <row r="31" spans="1:4">
      <c r="A31" t="s">
        <v>41</v>
      </c>
      <c r="B31" s="15">
        <v>41100000</v>
      </c>
      <c r="C31" s="15">
        <v>28000000</v>
      </c>
      <c r="D31" s="15">
        <v>37000000</v>
      </c>
    </row>
    <row r="32" spans="1:4">
      <c r="A32" t="s">
        <v>42</v>
      </c>
      <c r="B32" s="15">
        <v>1620000</v>
      </c>
      <c r="C32" s="15">
        <v>1680000</v>
      </c>
      <c r="D32" s="1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="80" zoomScaleNormal="80" workbookViewId="0"/>
  </sheetViews>
  <sheetFormatPr defaultRowHeight="15"/>
  <cols>
    <col min="1" max="1" width="42" style="40" bestFit="1" customWidth="1"/>
    <col min="2" max="2" width="22.85546875" style="40" bestFit="1" customWidth="1"/>
    <col min="3" max="3" width="3.7109375" style="40" customWidth="1"/>
    <col min="4" max="4" width="12.42578125" style="92" bestFit="1" customWidth="1"/>
    <col min="5" max="5" width="3.7109375" style="40" customWidth="1"/>
    <col min="6" max="6" width="21" style="40" bestFit="1" customWidth="1"/>
    <col min="7" max="16384" width="9.140625" style="40"/>
  </cols>
  <sheetData>
    <row r="1" spans="1:6" ht="21">
      <c r="A1" s="53" t="s">
        <v>60</v>
      </c>
    </row>
    <row r="2" spans="1:6">
      <c r="A2" s="84" t="s">
        <v>61</v>
      </c>
      <c r="B2" s="85"/>
      <c r="C2" s="85"/>
      <c r="D2" s="93"/>
      <c r="E2" s="85"/>
      <c r="F2" s="85"/>
    </row>
    <row r="3" spans="1:6" ht="30">
      <c r="A3" s="85"/>
      <c r="B3" s="94" t="s">
        <v>76</v>
      </c>
      <c r="C3" s="95"/>
      <c r="D3" s="94" t="s">
        <v>75</v>
      </c>
      <c r="E3" s="96"/>
      <c r="F3" s="96" t="s">
        <v>77</v>
      </c>
    </row>
    <row r="4" spans="1:6">
      <c r="A4" s="97" t="s">
        <v>79</v>
      </c>
    </row>
    <row r="5" spans="1:6">
      <c r="A5" s="40" t="s">
        <v>21</v>
      </c>
      <c r="B5" s="98">
        <v>9400000</v>
      </c>
      <c r="D5" s="99">
        <v>1.2233000000000001</v>
      </c>
      <c r="F5" s="66">
        <f>B5*D5</f>
        <v>11499020</v>
      </c>
    </row>
    <row r="6" spans="1:6">
      <c r="A6" s="40" t="s">
        <v>22</v>
      </c>
      <c r="B6" s="41">
        <v>13000000</v>
      </c>
      <c r="D6" s="100">
        <v>1.2233000000000001</v>
      </c>
      <c r="F6" s="71">
        <f>B6*D6</f>
        <v>15902900</v>
      </c>
    </row>
    <row r="7" spans="1:6" hidden="1">
      <c r="A7" s="40" t="s">
        <v>23</v>
      </c>
      <c r="B7" s="41">
        <v>0</v>
      </c>
      <c r="D7" s="100"/>
      <c r="F7" s="71"/>
    </row>
    <row r="8" spans="1:6">
      <c r="A8" s="40" t="s">
        <v>24</v>
      </c>
      <c r="B8" s="41">
        <v>16500000</v>
      </c>
      <c r="D8" s="100">
        <v>1.2233000000000001</v>
      </c>
      <c r="F8" s="71">
        <f>B8*D8</f>
        <v>20184450</v>
      </c>
    </row>
    <row r="9" spans="1:6" hidden="1">
      <c r="A9" s="40" t="s">
        <v>1</v>
      </c>
      <c r="B9" s="41">
        <v>0</v>
      </c>
      <c r="D9" s="100"/>
      <c r="F9" s="71"/>
    </row>
    <row r="10" spans="1:6" hidden="1">
      <c r="A10" s="40" t="s">
        <v>25</v>
      </c>
      <c r="B10" s="41">
        <v>0</v>
      </c>
      <c r="D10" s="100"/>
      <c r="F10" s="71"/>
    </row>
    <row r="11" spans="1:6" hidden="1">
      <c r="A11" s="40" t="s">
        <v>26</v>
      </c>
      <c r="B11" s="41">
        <v>0</v>
      </c>
      <c r="D11" s="100"/>
      <c r="F11" s="71"/>
    </row>
    <row r="12" spans="1:6">
      <c r="A12" s="40" t="s">
        <v>27</v>
      </c>
      <c r="B12" s="41">
        <v>86500000</v>
      </c>
      <c r="D12" s="100">
        <v>1.2233000000000001</v>
      </c>
      <c r="F12" s="71">
        <f>B12*D12</f>
        <v>105815450</v>
      </c>
    </row>
    <row r="13" spans="1:6">
      <c r="A13" s="40" t="s">
        <v>34</v>
      </c>
      <c r="B13" s="41">
        <v>820000</v>
      </c>
      <c r="D13" s="101">
        <v>1.5002</v>
      </c>
      <c r="F13" s="102">
        <f>B13*D13</f>
        <v>1230164</v>
      </c>
    </row>
    <row r="14" spans="1:6">
      <c r="A14" s="78" t="s">
        <v>40</v>
      </c>
      <c r="B14" s="41">
        <v>175000000</v>
      </c>
      <c r="D14" s="100">
        <v>1.39</v>
      </c>
      <c r="F14" s="102">
        <f>B14*D14</f>
        <v>243249999.99999997</v>
      </c>
    </row>
    <row r="15" spans="1:6">
      <c r="A15" s="78" t="s">
        <v>41</v>
      </c>
      <c r="B15" s="41">
        <v>37000000</v>
      </c>
      <c r="D15" s="100">
        <v>1.39</v>
      </c>
      <c r="F15" s="102">
        <f>B15*D15</f>
        <v>51430000</v>
      </c>
    </row>
    <row r="16" spans="1:6">
      <c r="A16" s="78" t="s">
        <v>83</v>
      </c>
      <c r="B16" s="41"/>
      <c r="D16" s="100"/>
      <c r="F16" s="102"/>
    </row>
    <row r="17" spans="1:6">
      <c r="A17" s="48" t="s">
        <v>82</v>
      </c>
      <c r="B17" s="49"/>
      <c r="D17" s="100"/>
      <c r="F17" s="103">
        <f>F32-SUM(F5:F15)</f>
        <v>9483404.5</v>
      </c>
    </row>
    <row r="18" spans="1:6" ht="15.75" thickBot="1">
      <c r="B18" s="104">
        <f>SUM(B5:B15)</f>
        <v>338220000</v>
      </c>
      <c r="D18" s="100"/>
      <c r="F18" s="105">
        <f>SUM(F5:F17)</f>
        <v>458795388.5</v>
      </c>
    </row>
    <row r="19" spans="1:6" ht="15.75" thickTop="1">
      <c r="A19" s="97" t="s">
        <v>80</v>
      </c>
      <c r="B19" s="41"/>
      <c r="D19" s="100"/>
      <c r="F19" s="71"/>
    </row>
    <row r="20" spans="1:6">
      <c r="A20" s="40" t="s">
        <v>28</v>
      </c>
      <c r="B20" s="41">
        <v>51115000</v>
      </c>
      <c r="D20" s="100">
        <v>1.2233000000000001</v>
      </c>
      <c r="F20" s="66">
        <f>B20*D20</f>
        <v>62528979.5</v>
      </c>
    </row>
    <row r="21" spans="1:6">
      <c r="A21" s="40" t="s">
        <v>29</v>
      </c>
      <c r="B21" s="41">
        <v>10230000</v>
      </c>
      <c r="D21" s="100">
        <v>1.2233000000000001</v>
      </c>
      <c r="F21" s="71">
        <f>B21*D21</f>
        <v>12514359</v>
      </c>
    </row>
    <row r="22" spans="1:6" hidden="1">
      <c r="A22" s="40" t="s">
        <v>30</v>
      </c>
      <c r="B22" s="41">
        <v>0</v>
      </c>
      <c r="D22" s="100"/>
      <c r="F22" s="71"/>
    </row>
    <row r="23" spans="1:6" hidden="1">
      <c r="A23" s="40" t="s">
        <v>31</v>
      </c>
      <c r="B23" s="41">
        <v>0</v>
      </c>
      <c r="D23" s="100"/>
      <c r="F23" s="71"/>
    </row>
    <row r="24" spans="1:6" hidden="1">
      <c r="A24" s="40" t="s">
        <v>32</v>
      </c>
      <c r="B24" s="41">
        <v>0</v>
      </c>
      <c r="D24" s="100"/>
      <c r="F24" s="71"/>
    </row>
    <row r="25" spans="1:6">
      <c r="A25" s="40" t="s">
        <v>33</v>
      </c>
      <c r="B25" s="41">
        <v>39000000</v>
      </c>
      <c r="D25" s="101">
        <v>1.3534999999999999</v>
      </c>
      <c r="F25" s="102">
        <f>B25*D25</f>
        <v>52786500</v>
      </c>
    </row>
    <row r="26" spans="1:6">
      <c r="A26" s="40" t="s">
        <v>35</v>
      </c>
      <c r="B26" s="41">
        <v>12875000</v>
      </c>
      <c r="D26" s="100">
        <v>1.4148000000000001</v>
      </c>
      <c r="F26" s="102">
        <f>B26*D26</f>
        <v>18215550</v>
      </c>
    </row>
    <row r="27" spans="1:6">
      <c r="A27" s="40" t="s">
        <v>36</v>
      </c>
      <c r="B27" s="41">
        <v>225000000</v>
      </c>
      <c r="D27" s="100">
        <v>1.39</v>
      </c>
      <c r="F27" s="103">
        <f>B27*D27</f>
        <v>312750000</v>
      </c>
    </row>
    <row r="28" spans="1:6" hidden="1">
      <c r="A28" s="40" t="s">
        <v>37</v>
      </c>
      <c r="B28" s="41">
        <v>0</v>
      </c>
      <c r="D28" s="100"/>
      <c r="F28" s="71"/>
    </row>
    <row r="29" spans="1:6" hidden="1">
      <c r="A29" s="40" t="s">
        <v>38</v>
      </c>
      <c r="B29" s="41">
        <v>0</v>
      </c>
      <c r="D29" s="100"/>
      <c r="F29" s="71"/>
    </row>
    <row r="30" spans="1:6" hidden="1">
      <c r="A30" s="40" t="s">
        <v>39</v>
      </c>
      <c r="B30" s="41">
        <v>0</v>
      </c>
      <c r="D30" s="100"/>
      <c r="F30" s="71"/>
    </row>
    <row r="31" spans="1:6" hidden="1">
      <c r="A31" s="78" t="s">
        <v>42</v>
      </c>
      <c r="B31" s="41">
        <v>0</v>
      </c>
      <c r="F31" s="106"/>
    </row>
    <row r="32" spans="1:6" ht="15.75" thickBot="1">
      <c r="B32" s="104">
        <f>SUM(B20:B27)</f>
        <v>338220000</v>
      </c>
      <c r="F32" s="105">
        <f>SUM(F20:F27)</f>
        <v>458795388.5</v>
      </c>
    </row>
    <row r="33" ht="15.75" thickTop="1"/>
  </sheetData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8"/>
  <sheetViews>
    <sheetView zoomScale="80" zoomScaleNormal="80" workbookViewId="0">
      <selection activeCell="E9" sqref="E9"/>
    </sheetView>
  </sheetViews>
  <sheetFormatPr defaultRowHeight="15"/>
  <cols>
    <col min="1" max="4" width="9.140625" style="40"/>
    <col min="5" max="5" width="16.5703125" style="40" bestFit="1" customWidth="1"/>
    <col min="6" max="6" width="9.140625" style="40"/>
    <col min="7" max="7" width="16.28515625" style="40" bestFit="1" customWidth="1"/>
    <col min="8" max="16384" width="9.140625" style="40"/>
  </cols>
  <sheetData>
    <row r="2" spans="1:12">
      <c r="A2" s="52" t="s">
        <v>84</v>
      </c>
    </row>
    <row r="3" spans="1:12">
      <c r="A3" s="52" t="s">
        <v>85</v>
      </c>
    </row>
    <row r="4" spans="1:12">
      <c r="A4" s="82" t="s">
        <v>86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A5" s="84" t="s">
        <v>91</v>
      </c>
      <c r="B5" s="85"/>
      <c r="C5" s="85"/>
      <c r="D5" s="85"/>
      <c r="E5" s="85"/>
      <c r="F5" s="85"/>
      <c r="G5" s="85"/>
      <c r="H5" s="83"/>
      <c r="I5" s="83"/>
      <c r="J5" s="83"/>
      <c r="K5" s="83"/>
      <c r="L5" s="83"/>
    </row>
    <row r="7" spans="1:12">
      <c r="A7" s="86" t="s">
        <v>36</v>
      </c>
      <c r="G7" s="66">
        <f>'Foreign Curr Translation'!F27</f>
        <v>312750000</v>
      </c>
    </row>
    <row r="8" spans="1:12">
      <c r="A8" s="86" t="s">
        <v>87</v>
      </c>
    </row>
    <row r="9" spans="1:12">
      <c r="A9" s="48" t="s">
        <v>40</v>
      </c>
      <c r="E9" s="66">
        <f>'Foreign Curr Translation'!F14</f>
        <v>243249999.99999997</v>
      </c>
    </row>
    <row r="10" spans="1:12">
      <c r="A10" s="48" t="s">
        <v>41</v>
      </c>
      <c r="E10" s="49">
        <f>'Foreign Curr Translation'!F15</f>
        <v>51430000</v>
      </c>
    </row>
    <row r="11" spans="1:12">
      <c r="A11" s="87" t="s">
        <v>88</v>
      </c>
      <c r="G11" s="70">
        <f>SUM(E9:E10)</f>
        <v>294680000</v>
      </c>
    </row>
    <row r="12" spans="1:12">
      <c r="A12" s="40" t="s">
        <v>57</v>
      </c>
      <c r="G12" s="68">
        <f>G7-G11</f>
        <v>18070000</v>
      </c>
    </row>
    <row r="13" spans="1:12">
      <c r="A13" s="40" t="s">
        <v>89</v>
      </c>
      <c r="G13" s="49">
        <f>'Foreign Curr Translation'!F26</f>
        <v>18215550</v>
      </c>
    </row>
    <row r="14" spans="1:12">
      <c r="G14" s="68">
        <f>G12+G13</f>
        <v>36285550</v>
      </c>
    </row>
    <row r="15" spans="1:12">
      <c r="A15" s="40" t="s">
        <v>78</v>
      </c>
      <c r="G15" s="49">
        <f>'Foreign Curr Translation'!F13</f>
        <v>1230164</v>
      </c>
    </row>
    <row r="16" spans="1:12" ht="15.75" thickBot="1">
      <c r="A16" s="48" t="s">
        <v>90</v>
      </c>
      <c r="G16" s="88">
        <f>G14-G15</f>
        <v>35055386</v>
      </c>
    </row>
    <row r="17" spans="1:7" ht="15.75" thickTop="1"/>
    <row r="20" spans="1:7">
      <c r="A20" s="52" t="s">
        <v>92</v>
      </c>
    </row>
    <row r="21" spans="1:7">
      <c r="A21" s="82" t="s">
        <v>93</v>
      </c>
    </row>
    <row r="22" spans="1:7">
      <c r="A22" s="84" t="s">
        <v>91</v>
      </c>
      <c r="B22" s="85"/>
      <c r="C22" s="85"/>
      <c r="D22" s="85"/>
      <c r="E22" s="85"/>
      <c r="F22" s="85"/>
      <c r="G22" s="85"/>
    </row>
    <row r="24" spans="1:7">
      <c r="A24" s="89" t="s">
        <v>94</v>
      </c>
    </row>
    <row r="25" spans="1:7">
      <c r="A25" s="40" t="s">
        <v>21</v>
      </c>
      <c r="G25" s="66">
        <f>'Foreign Curr Translation'!F5</f>
        <v>11499020</v>
      </c>
    </row>
    <row r="26" spans="1:7">
      <c r="A26" s="40" t="s">
        <v>22</v>
      </c>
      <c r="G26" s="90">
        <f>'Foreign Curr Translation'!F6</f>
        <v>15902900</v>
      </c>
    </row>
    <row r="27" spans="1:7">
      <c r="A27" s="40" t="s">
        <v>24</v>
      </c>
      <c r="G27" s="90">
        <f>'Foreign Curr Translation'!F8</f>
        <v>20184450</v>
      </c>
    </row>
    <row r="28" spans="1:7">
      <c r="A28" s="40" t="s">
        <v>27</v>
      </c>
      <c r="G28" s="90">
        <f>'Foreign Curr Translation'!F12</f>
        <v>105815450</v>
      </c>
    </row>
    <row r="29" spans="1:7">
      <c r="A29" s="78" t="s">
        <v>95</v>
      </c>
      <c r="G29" s="91">
        <f>'Foreign Curr Translation'!F20</f>
        <v>62528979.5</v>
      </c>
    </row>
    <row r="30" spans="1:7" ht="15.75" thickBot="1">
      <c r="G30" s="88">
        <f>G25+G26+G27+G28-G29</f>
        <v>90872840.5</v>
      </c>
    </row>
    <row r="31" spans="1:7" ht="15.75" thickTop="1"/>
    <row r="32" spans="1:7">
      <c r="A32" s="89" t="s">
        <v>96</v>
      </c>
    </row>
    <row r="33" spans="1:7">
      <c r="A33" s="40" t="s">
        <v>29</v>
      </c>
      <c r="G33" s="66">
        <f>'Foreign Curr Translation'!F21</f>
        <v>12514359</v>
      </c>
    </row>
    <row r="34" spans="1:7">
      <c r="A34" s="40" t="s">
        <v>33</v>
      </c>
      <c r="G34" s="41">
        <f>'Foreign Curr Translation'!F25</f>
        <v>52786500</v>
      </c>
    </row>
    <row r="35" spans="1:7">
      <c r="A35" s="40" t="s">
        <v>50</v>
      </c>
      <c r="G35" s="50">
        <f>G16</f>
        <v>35055386</v>
      </c>
    </row>
    <row r="36" spans="1:7">
      <c r="A36" s="40" t="s">
        <v>97</v>
      </c>
      <c r="G36" s="49">
        <v>-9483404.5</v>
      </c>
    </row>
    <row r="37" spans="1:7" ht="15.75" thickBot="1">
      <c r="G37" s="88">
        <f>SUM(G33:G36)</f>
        <v>90872840.5</v>
      </c>
    </row>
    <row r="38" spans="1:7" ht="15.75" thickTop="1"/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7" sqref="A37"/>
    </sheetView>
  </sheetViews>
  <sheetFormatPr defaultRowHeight="15"/>
  <cols>
    <col min="1" max="1" width="49.42578125" style="40" customWidth="1"/>
    <col min="2" max="4" width="16.5703125" style="40" bestFit="1" customWidth="1"/>
    <col min="5" max="5" width="14.28515625" style="40" bestFit="1" customWidth="1"/>
    <col min="6" max="6" width="16.140625" style="40" bestFit="1" customWidth="1"/>
    <col min="7" max="16384" width="9.140625" style="40"/>
  </cols>
  <sheetData>
    <row r="1" spans="1:6">
      <c r="A1" s="52" t="s">
        <v>58</v>
      </c>
    </row>
    <row r="2" spans="1:6" ht="21">
      <c r="A2" s="53" t="s">
        <v>43</v>
      </c>
    </row>
    <row r="3" spans="1:6">
      <c r="A3" s="61">
        <v>40359</v>
      </c>
    </row>
    <row r="5" spans="1:6" ht="30.75" customHeight="1">
      <c r="B5" s="62" t="s">
        <v>44</v>
      </c>
      <c r="C5" s="62" t="s">
        <v>72</v>
      </c>
      <c r="D5" s="62" t="s">
        <v>73</v>
      </c>
      <c r="E5" s="63" t="s">
        <v>14</v>
      </c>
      <c r="F5" s="64" t="s">
        <v>15</v>
      </c>
    </row>
    <row r="6" spans="1:6">
      <c r="E6" s="65"/>
    </row>
    <row r="7" spans="1:6">
      <c r="A7" s="79" t="s">
        <v>52</v>
      </c>
      <c r="E7" s="65"/>
    </row>
    <row r="8" spans="1:6">
      <c r="A8" s="80" t="s">
        <v>36</v>
      </c>
      <c r="B8" s="66">
        <f>'June 30 2010 Trial Balance'!B26*-1</f>
        <v>294850000</v>
      </c>
      <c r="C8" s="66">
        <f>'June 30 2010 Trial Balance'!C26*-1</f>
        <v>155000000</v>
      </c>
      <c r="D8" s="66">
        <f>'Voiles Financial Statements $ '!G7</f>
        <v>312750000</v>
      </c>
      <c r="E8" s="67">
        <f>-'Intercompany Transactions'!C52</f>
        <v>-36000000</v>
      </c>
      <c r="F8" s="68">
        <f>SUM(B8:E8)</f>
        <v>726600000</v>
      </c>
    </row>
    <row r="9" spans="1:6">
      <c r="A9" s="80" t="s">
        <v>37</v>
      </c>
      <c r="B9" s="45">
        <v>200000</v>
      </c>
      <c r="C9" s="66"/>
      <c r="D9" s="66"/>
      <c r="E9" s="67"/>
      <c r="F9" s="68"/>
    </row>
    <row r="10" spans="1:6">
      <c r="A10" s="80" t="s">
        <v>39</v>
      </c>
      <c r="B10" s="45">
        <f>'June 30 2010 Trial Balance'!B29*-1</f>
        <v>3200000</v>
      </c>
      <c r="E10" s="43">
        <v>-3200000</v>
      </c>
      <c r="F10" s="68">
        <f>SUM(B10:E10)</f>
        <v>0</v>
      </c>
    </row>
    <row r="11" spans="1:6">
      <c r="A11" s="80" t="s">
        <v>70</v>
      </c>
      <c r="B11" s="41">
        <f>'June 30 2010 Trial Balance'!B28*-1</f>
        <v>1300000</v>
      </c>
      <c r="E11" s="69">
        <f>-'Intercompany Transactions'!F7</f>
        <v>-1260000</v>
      </c>
      <c r="F11" s="68">
        <f>SUM(B11:E11)</f>
        <v>40000</v>
      </c>
    </row>
    <row r="12" spans="1:6">
      <c r="E12" s="65"/>
    </row>
    <row r="13" spans="1:6">
      <c r="A13" s="81" t="s">
        <v>53</v>
      </c>
      <c r="B13" s="70">
        <f>SUM(B8:B11)</f>
        <v>299550000</v>
      </c>
      <c r="C13" s="70">
        <f>SUM(C8:C11)</f>
        <v>155000000</v>
      </c>
      <c r="D13" s="70">
        <f>SUM(D8:D11)</f>
        <v>312750000</v>
      </c>
      <c r="E13" s="65"/>
      <c r="F13" s="70">
        <f>SUM(F8:F11)</f>
        <v>726640000</v>
      </c>
    </row>
    <row r="14" spans="1:6">
      <c r="E14" s="65"/>
    </row>
    <row r="15" spans="1:6">
      <c r="A15" s="79" t="s">
        <v>54</v>
      </c>
      <c r="E15" s="65"/>
    </row>
    <row r="16" spans="1:6">
      <c r="A16" s="80" t="s">
        <v>55</v>
      </c>
      <c r="B16" s="41">
        <f>'June 30 2010 Trial Balance'!B30</f>
        <v>250000000</v>
      </c>
      <c r="C16" s="41">
        <f>'June 30 2010 Trial Balance'!C30</f>
        <v>119160000</v>
      </c>
      <c r="D16" s="41">
        <f>'Voiles Financial Statements $ '!E9</f>
        <v>243249999.99999997</v>
      </c>
      <c r="E16" s="43">
        <f>-'Intercompany Transactions'!C52+'Intercompany Transactions'!E59</f>
        <v>-34500000</v>
      </c>
      <c r="F16" s="71">
        <f>SUM(B16:E16)+E17</f>
        <v>577910000</v>
      </c>
    </row>
    <row r="17" spans="1:6">
      <c r="A17" s="80"/>
      <c r="B17" s="41"/>
      <c r="C17" s="41"/>
      <c r="D17" s="41"/>
      <c r="E17" s="43"/>
    </row>
    <row r="18" spans="1:6">
      <c r="A18" s="80" t="s">
        <v>41</v>
      </c>
      <c r="B18" s="45">
        <f>'June 30 2010 Trial Balance'!B31</f>
        <v>41100000</v>
      </c>
      <c r="C18" s="45">
        <f>'June 30 2010 Trial Balance'!C31</f>
        <v>28000000</v>
      </c>
      <c r="D18" s="41">
        <f>'Voiles Financial Statements $ '!E10</f>
        <v>51430000</v>
      </c>
      <c r="E18" s="43">
        <f>'Schedule of Allocation'!E28+'Schedule of Allocation'!E34</f>
        <v>350000</v>
      </c>
      <c r="F18" s="41">
        <f>SUM(B18:E18)</f>
        <v>120880000</v>
      </c>
    </row>
    <row r="19" spans="1:6">
      <c r="A19" s="80" t="s">
        <v>71</v>
      </c>
      <c r="B19" s="45">
        <f>'June 30 2010 Trial Balance'!B32</f>
        <v>1620000</v>
      </c>
      <c r="C19" s="45">
        <f>'June 30 2010 Trial Balance'!C32</f>
        <v>1680000</v>
      </c>
      <c r="E19" s="43">
        <f>-'Intercompany Transactions'!F7</f>
        <v>-1260000</v>
      </c>
      <c r="F19" s="41">
        <f>SUM(B19:E19)</f>
        <v>2040000</v>
      </c>
    </row>
    <row r="20" spans="1:6">
      <c r="A20" s="80" t="s">
        <v>51</v>
      </c>
      <c r="B20" s="40">
        <v>0</v>
      </c>
      <c r="C20" s="40">
        <v>0</v>
      </c>
      <c r="D20" s="40">
        <v>0</v>
      </c>
      <c r="E20" s="54">
        <f>'Intercompany Transactions'!C76</f>
        <v>1232000</v>
      </c>
      <c r="F20" s="41">
        <f>SUM(B20:E20)</f>
        <v>1232000</v>
      </c>
    </row>
    <row r="21" spans="1:6">
      <c r="E21" s="65"/>
    </row>
    <row r="22" spans="1:6">
      <c r="A22" s="78" t="s">
        <v>56</v>
      </c>
      <c r="B22" s="72">
        <f>SUM(B16:B20)</f>
        <v>292720000</v>
      </c>
      <c r="C22" s="72">
        <f>SUM(C16:C20)</f>
        <v>148840000</v>
      </c>
      <c r="D22" s="72">
        <f>SUM(D16:D20)</f>
        <v>294680000</v>
      </c>
      <c r="E22" s="65"/>
      <c r="F22" s="49">
        <f>SUM(F16:F20)</f>
        <v>702062000</v>
      </c>
    </row>
    <row r="23" spans="1:6">
      <c r="E23" s="65"/>
    </row>
    <row r="24" spans="1:6" ht="15.75" thickBot="1">
      <c r="A24" s="52" t="s">
        <v>57</v>
      </c>
      <c r="B24" s="73">
        <f>B13-B22</f>
        <v>6830000</v>
      </c>
      <c r="C24" s="73">
        <f>C13-C22</f>
        <v>6160000</v>
      </c>
      <c r="D24" s="73">
        <f>D13-D22</f>
        <v>18070000</v>
      </c>
      <c r="E24" s="65"/>
      <c r="F24" s="47">
        <f>F13-F22</f>
        <v>24578000</v>
      </c>
    </row>
    <row r="25" spans="1:6" ht="15.75" thickTop="1">
      <c r="E25" s="65"/>
    </row>
    <row r="26" spans="1:6">
      <c r="E26" s="65"/>
    </row>
    <row r="27" spans="1:6">
      <c r="A27" s="52" t="s">
        <v>43</v>
      </c>
      <c r="E27" s="65"/>
    </row>
    <row r="28" spans="1:6" ht="21">
      <c r="A28" s="53" t="s">
        <v>59</v>
      </c>
      <c r="E28" s="65"/>
    </row>
    <row r="29" spans="1:6">
      <c r="A29" s="61">
        <v>40359</v>
      </c>
      <c r="E29" s="65"/>
    </row>
    <row r="30" spans="1:6">
      <c r="E30" s="65"/>
    </row>
    <row r="31" spans="1:6">
      <c r="B31" s="62" t="s">
        <v>44</v>
      </c>
      <c r="C31" s="62" t="s">
        <v>45</v>
      </c>
      <c r="D31" s="62" t="s">
        <v>46</v>
      </c>
      <c r="E31" s="63" t="s">
        <v>14</v>
      </c>
      <c r="F31" s="64" t="s">
        <v>15</v>
      </c>
    </row>
    <row r="32" spans="1:6">
      <c r="E32" s="65"/>
    </row>
    <row r="33" spans="1:6">
      <c r="A33" s="40" t="s">
        <v>135</v>
      </c>
      <c r="B33" s="45">
        <f>'June 30 2010 Trial Balance'!B24*-1</f>
        <v>31420000</v>
      </c>
      <c r="C33" s="45">
        <f>'June 30 2010 Trial Balance'!C24*-1</f>
        <v>20000000</v>
      </c>
      <c r="D33" s="41">
        <f>'Foreign Curr Translation'!F26</f>
        <v>18215550</v>
      </c>
      <c r="E33" s="74">
        <f>-1*(C33+D33)</f>
        <v>-38215550</v>
      </c>
      <c r="F33" s="45">
        <f>SUM(B33:E33)+E34+E35</f>
        <v>33285550</v>
      </c>
    </row>
    <row r="34" spans="1:6">
      <c r="B34" s="45"/>
      <c r="C34" s="45"/>
      <c r="D34" s="41"/>
      <c r="E34" s="74">
        <f>'Intercompany Transactions'!C88</f>
        <v>3900000</v>
      </c>
    </row>
    <row r="35" spans="1:6">
      <c r="B35" s="45"/>
      <c r="C35" s="45"/>
      <c r="D35" s="41"/>
      <c r="E35" s="74">
        <f>'Intercompany Transactions'!G86</f>
        <v>-2034450</v>
      </c>
    </row>
    <row r="36" spans="1:6">
      <c r="E36" s="65"/>
    </row>
    <row r="37" spans="1:6">
      <c r="A37" s="52" t="s">
        <v>57</v>
      </c>
      <c r="B37" s="75">
        <f>B24</f>
        <v>6830000</v>
      </c>
      <c r="C37" s="75">
        <f>C24</f>
        <v>6160000</v>
      </c>
      <c r="D37" s="75">
        <f>D24</f>
        <v>18070000</v>
      </c>
      <c r="E37" s="65"/>
      <c r="F37" s="72">
        <f>F24</f>
        <v>24578000</v>
      </c>
    </row>
    <row r="38" spans="1:6">
      <c r="B38" s="45">
        <f>SUM(B33:B37)</f>
        <v>38250000</v>
      </c>
      <c r="C38" s="45">
        <f>SUM(C33:C37)</f>
        <v>26160000</v>
      </c>
      <c r="D38" s="45">
        <f>SUM(D33:D37)</f>
        <v>36285550</v>
      </c>
      <c r="E38" s="65"/>
      <c r="F38" s="41">
        <f>SUM(F33:F37)</f>
        <v>57863550</v>
      </c>
    </row>
    <row r="39" spans="1:6">
      <c r="E39" s="65"/>
    </row>
    <row r="40" spans="1:6">
      <c r="A40" s="40" t="s">
        <v>78</v>
      </c>
      <c r="B40" s="41">
        <f>'June 30 2010 Trial Balance'!B23</f>
        <v>3600000</v>
      </c>
      <c r="C40" s="41">
        <f>'June 30 2010 Trial Balance'!C23</f>
        <v>3000000</v>
      </c>
      <c r="D40" s="41">
        <f>'Foreign Curr Translation'!F13</f>
        <v>1230164</v>
      </c>
      <c r="E40" s="69">
        <f>(C40+D40)*-1</f>
        <v>-4230164</v>
      </c>
      <c r="F40" s="71">
        <f>SUM(B40:E40)</f>
        <v>3600000</v>
      </c>
    </row>
    <row r="41" spans="1:6">
      <c r="E41" s="65"/>
    </row>
    <row r="42" spans="1:6" ht="15.75" thickBot="1">
      <c r="A42" s="40" t="s">
        <v>134</v>
      </c>
      <c r="B42" s="76">
        <f>B38-B40</f>
        <v>34650000</v>
      </c>
      <c r="C42" s="76">
        <f>C38-C40</f>
        <v>23160000</v>
      </c>
      <c r="D42" s="76">
        <f>D38-D40</f>
        <v>35055386</v>
      </c>
      <c r="E42" s="65"/>
      <c r="F42" s="47">
        <f>F38-F40</f>
        <v>54263550</v>
      </c>
    </row>
    <row r="43" spans="1:6" ht="15.75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zoomScale="80" zoomScaleNormal="80" workbookViewId="0">
      <selection activeCell="A2" sqref="A2"/>
    </sheetView>
  </sheetViews>
  <sheetFormatPr defaultRowHeight="15"/>
  <cols>
    <col min="1" max="1" width="40.28515625" style="40" customWidth="1"/>
    <col min="2" max="3" width="13.5703125" style="41" customWidth="1"/>
    <col min="4" max="4" width="14.140625" style="41" customWidth="1"/>
    <col min="5" max="5" width="13" style="56" bestFit="1" customWidth="1"/>
    <col min="6" max="6" width="14.28515625" style="41" bestFit="1" customWidth="1"/>
    <col min="7" max="7" width="9.140625" style="40"/>
    <col min="8" max="8" width="12.28515625" style="40" bestFit="1" customWidth="1"/>
    <col min="9" max="16384" width="9.140625" style="40"/>
  </cols>
  <sheetData>
    <row r="1" spans="1:8">
      <c r="A1" s="52" t="s">
        <v>13</v>
      </c>
    </row>
    <row r="2" spans="1:8" ht="21">
      <c r="A2" s="53" t="s">
        <v>43</v>
      </c>
    </row>
    <row r="3" spans="1:8">
      <c r="A3" s="61">
        <v>40359</v>
      </c>
    </row>
    <row r="5" spans="1:8" ht="30">
      <c r="B5" s="42" t="s">
        <v>44</v>
      </c>
      <c r="C5" s="42" t="s">
        <v>72</v>
      </c>
      <c r="D5" s="42" t="s">
        <v>73</v>
      </c>
      <c r="E5" s="56" t="s">
        <v>14</v>
      </c>
      <c r="F5" s="41" t="s">
        <v>15</v>
      </c>
    </row>
    <row r="7" spans="1:8">
      <c r="A7" s="77" t="s">
        <v>47</v>
      </c>
      <c r="B7" s="77"/>
      <c r="C7" s="77"/>
      <c r="D7" s="77"/>
      <c r="E7" s="77"/>
      <c r="F7" s="77"/>
    </row>
    <row r="8" spans="1:8">
      <c r="A8" s="39"/>
      <c r="B8" s="39"/>
      <c r="C8" s="39"/>
      <c r="D8" s="39"/>
      <c r="E8" s="57"/>
      <c r="F8" s="39"/>
    </row>
    <row r="9" spans="1:8">
      <c r="A9" s="55"/>
    </row>
    <row r="10" spans="1:8">
      <c r="A10" s="40" t="s">
        <v>21</v>
      </c>
      <c r="B10" s="44">
        <f>+'June 30 2010 Trial Balance'!B7</f>
        <v>8800000</v>
      </c>
      <c r="C10" s="44">
        <f>'June 30 2010 Trial Balance'!C7</f>
        <v>14150000</v>
      </c>
      <c r="D10" s="44">
        <f>'Foreign Curr Translation'!F5</f>
        <v>11499020</v>
      </c>
      <c r="E10" s="58"/>
      <c r="F10" s="44">
        <f>SUM(B10:E10)</f>
        <v>34449020</v>
      </c>
      <c r="H10" s="45"/>
    </row>
    <row r="11" spans="1:8">
      <c r="A11" s="40" t="s">
        <v>22</v>
      </c>
      <c r="B11" s="41">
        <f>'June 30 2010 Trial Balance'!B8</f>
        <v>10600000</v>
      </c>
      <c r="C11" s="41">
        <f>'June 30 2010 Trial Balance'!C8</f>
        <v>14670000</v>
      </c>
      <c r="D11" s="41">
        <f>'Foreign Curr Translation'!F6</f>
        <v>15902900</v>
      </c>
      <c r="E11" s="56">
        <f>'Intercompany Transactions'!D66*-1</f>
        <v>-3600000</v>
      </c>
      <c r="F11" s="41">
        <f t="shared" ref="F11:F20" si="0">SUM(B11:E11)</f>
        <v>37572900</v>
      </c>
    </row>
    <row r="12" spans="1:8">
      <c r="A12" s="40" t="s">
        <v>23</v>
      </c>
      <c r="B12" s="41">
        <v>400000</v>
      </c>
    </row>
    <row r="13" spans="1:8">
      <c r="A13" s="40" t="s">
        <v>24</v>
      </c>
      <c r="B13" s="41">
        <f>'June 30 2010 Trial Balance'!B10</f>
        <v>13750000</v>
      </c>
      <c r="C13" s="41">
        <f>'June 30 2010 Trial Balance'!C10</f>
        <v>16300000</v>
      </c>
      <c r="D13" s="41">
        <f>'Foreign Curr Translation'!F8</f>
        <v>20184450</v>
      </c>
      <c r="E13" s="56">
        <f>'Intercompany Transactions'!E59*-1</f>
        <v>-1500000</v>
      </c>
      <c r="F13" s="41">
        <f t="shared" si="0"/>
        <v>48734450</v>
      </c>
    </row>
    <row r="14" spans="1:8">
      <c r="A14" s="40" t="s">
        <v>1</v>
      </c>
      <c r="B14" s="41">
        <f>'June 30 2010 Trial Balance'!B11</f>
        <v>34000000</v>
      </c>
      <c r="E14" s="56">
        <f>B14*-1</f>
        <v>-34000000</v>
      </c>
      <c r="F14" s="41">
        <f t="shared" si="0"/>
        <v>0</v>
      </c>
    </row>
    <row r="15" spans="1:8">
      <c r="A15" s="40" t="s">
        <v>25</v>
      </c>
      <c r="B15" s="41">
        <f>'June 30 2010 Trial Balance'!B12</f>
        <v>65000000</v>
      </c>
      <c r="E15" s="56">
        <f>B15*-1</f>
        <v>-65000000</v>
      </c>
      <c r="F15" s="41">
        <f t="shared" si="0"/>
        <v>0</v>
      </c>
    </row>
    <row r="16" spans="1:8">
      <c r="A16" s="40" t="s">
        <v>26</v>
      </c>
      <c r="B16" s="41">
        <f>'June 30 2010 Trial Balance'!B13</f>
        <v>14800000</v>
      </c>
      <c r="E16" s="59">
        <f>B16*-1</f>
        <v>-14800000</v>
      </c>
      <c r="F16" s="41">
        <f t="shared" si="0"/>
        <v>0</v>
      </c>
    </row>
    <row r="17" spans="1:6">
      <c r="A17" s="40" t="s">
        <v>32</v>
      </c>
      <c r="C17" s="41">
        <f>'June 30 2010 Trial Balance'!C20</f>
        <v>80000</v>
      </c>
      <c r="F17" s="41">
        <f>SUM(B17:E17)</f>
        <v>80000</v>
      </c>
    </row>
    <row r="18" spans="1:6">
      <c r="A18" s="40" t="s">
        <v>27</v>
      </c>
      <c r="B18" s="41">
        <f>'June 30 2010 Trial Balance'!B14</f>
        <v>63900000</v>
      </c>
      <c r="C18" s="41">
        <f>'June 30 2010 Trial Balance'!C14</f>
        <v>56600000</v>
      </c>
      <c r="D18" s="41">
        <f>'Foreign Curr Translation'!F12</f>
        <v>105815450</v>
      </c>
      <c r="E18" s="56">
        <f>('Intercompany Transactions'!B42*-1)+('Schedule of Allocation'!B26-'Schedule of Allocation'!C26-'Schedule of Allocation'!D26-'Schedule of Allocation'!E26)+('Schedule of Allocation'!B32-'Schedule of Allocation'!C32-'Schedule of Allocation'!D32-'Schedule of Allocation'!E32)</f>
        <v>2250000</v>
      </c>
      <c r="F18" s="41">
        <f t="shared" si="0"/>
        <v>228565450</v>
      </c>
    </row>
    <row r="19" spans="1:6">
      <c r="A19" s="40" t="s">
        <v>95</v>
      </c>
      <c r="B19" s="41">
        <f>'June 30 2010 Trial Balance'!B15</f>
        <v>-40200000</v>
      </c>
      <c r="C19" s="41">
        <f>'June 30 2010 Trial Balance'!C15</f>
        <v>-22500000</v>
      </c>
      <c r="D19" s="41">
        <f>'Foreign Curr Translation'!F20*-1</f>
        <v>-62528979.5</v>
      </c>
      <c r="E19" s="56">
        <f>('Intercompany Transactions'!B44)*(6/12)*-1</f>
        <v>-10000</v>
      </c>
      <c r="F19" s="41">
        <f t="shared" si="0"/>
        <v>-125238979.5</v>
      </c>
    </row>
    <row r="20" spans="1:6">
      <c r="A20" s="40" t="s">
        <v>10</v>
      </c>
      <c r="E20" s="56">
        <f>('Schedule of Allocation'!B27)+('Schedule of Allocation'!B33)</f>
        <v>3500000</v>
      </c>
      <c r="F20" s="41">
        <f t="shared" si="0"/>
        <v>3500000</v>
      </c>
    </row>
    <row r="22" spans="1:6" ht="15.75" thickBot="1">
      <c r="A22" s="46" t="s">
        <v>48</v>
      </c>
      <c r="B22" s="47">
        <f>SUM(B10:B20)</f>
        <v>171050000</v>
      </c>
      <c r="C22" s="47">
        <f>SUM(C10:C20)</f>
        <v>79300000</v>
      </c>
      <c r="D22" s="47">
        <f>SUM(D10:D20)</f>
        <v>90872840.5</v>
      </c>
      <c r="F22" s="47">
        <f>SUM(F10:F20)</f>
        <v>227662840.5</v>
      </c>
    </row>
    <row r="23" spans="1:6" ht="15.75" thickTop="1"/>
    <row r="25" spans="1:6">
      <c r="A25" s="77" t="s">
        <v>49</v>
      </c>
      <c r="B25" s="77"/>
      <c r="C25" s="77"/>
      <c r="D25" s="77"/>
      <c r="E25" s="77"/>
      <c r="F25" s="77"/>
    </row>
    <row r="27" spans="1:6">
      <c r="A27" s="40" t="s">
        <v>29</v>
      </c>
      <c r="B27" s="41">
        <f>'June 30 2010 Trial Balance'!B17*-1</f>
        <v>20200000</v>
      </c>
      <c r="C27" s="41">
        <f>'June 30 2010 Trial Balance'!C17*-1</f>
        <v>10640000</v>
      </c>
      <c r="D27" s="41">
        <f>'Foreign Curr Translation'!F21</f>
        <v>12514359</v>
      </c>
      <c r="E27" s="56">
        <f>('Intercompany Transactions'!D66)*-1</f>
        <v>-3600000</v>
      </c>
      <c r="F27" s="41">
        <f>SUM(B27:E27)</f>
        <v>39754359</v>
      </c>
    </row>
    <row r="28" spans="1:6">
      <c r="A28" s="40" t="s">
        <v>30</v>
      </c>
      <c r="B28" s="41">
        <f>'June 30 2010 Trial Balance'!B18*-1</f>
        <v>1200000</v>
      </c>
      <c r="C28" s="41">
        <f>'June 30 2010 Trial Balance'!C18*-1</f>
        <v>500000</v>
      </c>
      <c r="E28" s="60" t="s">
        <v>136</v>
      </c>
      <c r="F28" s="41">
        <f>SUM(B28:E28)</f>
        <v>1700000</v>
      </c>
    </row>
    <row r="29" spans="1:6">
      <c r="A29" s="40" t="s">
        <v>31</v>
      </c>
      <c r="B29" s="41">
        <f>'June 30 2010 Trial Balance'!B19*-1</f>
        <v>55000000</v>
      </c>
      <c r="C29" s="41">
        <f>'June 30 2010 Trial Balance'!C19*-1</f>
        <v>20000000</v>
      </c>
      <c r="E29" s="56">
        <v>-15000000</v>
      </c>
      <c r="F29" s="41">
        <f>SUM(B29:E29)</f>
        <v>60000000</v>
      </c>
    </row>
    <row r="30" spans="1:6">
      <c r="A30" s="40" t="s">
        <v>33</v>
      </c>
      <c r="B30" s="41">
        <f>'June 30 2010 Trial Balance'!B22*-1</f>
        <v>60000000</v>
      </c>
      <c r="C30" s="41">
        <f>'June 30 2010 Trial Balance'!C22*-1</f>
        <v>25000000</v>
      </c>
      <c r="D30" s="41">
        <f>'Foreign Curr Translation'!F25</f>
        <v>52786500</v>
      </c>
      <c r="E30" s="56">
        <f>SUM(C30:D30)*-1</f>
        <v>-77786500</v>
      </c>
      <c r="F30" s="41">
        <f>SUM(B30:E30)</f>
        <v>60000000</v>
      </c>
    </row>
    <row r="31" spans="1:6">
      <c r="A31" s="40" t="s">
        <v>50</v>
      </c>
      <c r="B31" s="41">
        <f>'Consolidated IS &amp; RE'!B42</f>
        <v>34650000</v>
      </c>
      <c r="C31" s="41">
        <f>'Consolidated IS &amp; RE'!C42</f>
        <v>23160000</v>
      </c>
      <c r="D31" s="41">
        <f>'Consolidated IS &amp; RE'!D42</f>
        <v>35055386</v>
      </c>
      <c r="F31" s="41">
        <f>'Consolidated IS &amp; RE'!F42</f>
        <v>54263550</v>
      </c>
    </row>
    <row r="32" spans="1:6">
      <c r="A32" s="40" t="s">
        <v>51</v>
      </c>
      <c r="E32" s="56">
        <f>'Intercompany Transactions'!F78</f>
        <v>9632000</v>
      </c>
      <c r="F32" s="41">
        <f>SUM(B32:E32)</f>
        <v>9632000</v>
      </c>
    </row>
    <row r="33" spans="1:6">
      <c r="A33" s="40" t="s">
        <v>151</v>
      </c>
    </row>
    <row r="34" spans="1:6">
      <c r="A34" s="48" t="s">
        <v>150</v>
      </c>
      <c r="B34" s="49"/>
      <c r="C34" s="49"/>
      <c r="D34" s="49">
        <f>'Foreign Curr Translation'!F17*-1</f>
        <v>-9483404.5</v>
      </c>
      <c r="F34" s="49"/>
    </row>
    <row r="35" spans="1:6">
      <c r="A35" s="48"/>
      <c r="B35" s="50"/>
      <c r="C35" s="50"/>
      <c r="D35" s="50"/>
      <c r="F35" s="50"/>
    </row>
    <row r="36" spans="1:6" ht="15.75" thickBot="1">
      <c r="A36" s="51" t="s">
        <v>152</v>
      </c>
      <c r="B36" s="47">
        <f>SUM(B27:B34)</f>
        <v>171050000</v>
      </c>
      <c r="C36" s="47">
        <f>SUM(C27:C32)</f>
        <v>79300000</v>
      </c>
      <c r="D36" s="47">
        <f>SUM(D27:D34)</f>
        <v>90872840.5</v>
      </c>
      <c r="F36" s="47">
        <f>SUM(F27:F34)</f>
        <v>225349909</v>
      </c>
    </row>
    <row r="37" spans="1:6" ht="15.75" thickTop="1"/>
  </sheetData>
  <mergeCells count="2">
    <mergeCell ref="A7:F7"/>
    <mergeCell ref="A25:F25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Schedule of Allocation</vt:lpstr>
      <vt:lpstr>Intercompany Transactions</vt:lpstr>
      <vt:lpstr>June 30 2010 Trial Balance</vt:lpstr>
      <vt:lpstr>Foreign Curr Translation</vt:lpstr>
      <vt:lpstr>Voiles Financial Statements $ </vt:lpstr>
      <vt:lpstr>Consolidated IS &amp; RE</vt:lpstr>
      <vt:lpstr>Consolidated BS</vt:lpstr>
    </vt:vector>
  </TitlesOfParts>
  <Company>NJIT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Aneri Patel</dc:creator>
  <cp:lastModifiedBy>Aaditya Shah</cp:lastModifiedBy>
  <dcterms:created xsi:type="dcterms:W3CDTF">2011-11-14T22:29:56Z</dcterms:created>
  <dcterms:modified xsi:type="dcterms:W3CDTF">2011-11-24T04:52:28Z</dcterms:modified>
</cp:coreProperties>
</file>